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newtonlima\Desktop\"/>
    </mc:Choice>
  </mc:AlternateContent>
  <xr:revisionPtr revIDLastSave="0" documentId="8_{1D50B921-A5CD-4B82-8ED6-A2A1E5E25020}" xr6:coauthVersionLast="47" xr6:coauthVersionMax="47" xr10:uidLastSave="{00000000-0000-0000-0000-000000000000}"/>
  <bookViews>
    <workbookView xWindow="-21720" yWindow="2490" windowWidth="21840" windowHeight="13140" xr2:uid="{00000000-000D-0000-FFFF-FFFF00000000}"/>
  </bookViews>
  <sheets>
    <sheet name="GO-230 Vila Propicio" sheetId="1" r:id="rId1"/>
  </sheets>
  <definedNames>
    <definedName name="_xlnm.Print_Area" localSheetId="0">'GO-230 Vila Propicio'!$A$1:$O$84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7" i="1" l="1"/>
  <c r="C76" i="1"/>
  <c r="C36" i="1"/>
  <c r="C88" i="1" s="1"/>
  <c r="AA35" i="1"/>
  <c r="D35" i="1"/>
  <c r="AC33" i="1"/>
  <c r="U32" i="1"/>
  <c r="T32" i="1"/>
  <c r="S32" i="1"/>
  <c r="D32" i="1"/>
  <c r="AA30" i="1"/>
  <c r="AA32" i="1" s="1"/>
  <c r="Z30" i="1"/>
  <c r="Z32" i="1" s="1"/>
  <c r="Y30" i="1"/>
  <c r="Y32" i="1" s="1"/>
  <c r="X30" i="1"/>
  <c r="X32" i="1" s="1"/>
  <c r="W30" i="1"/>
  <c r="W32" i="1" s="1"/>
  <c r="V30" i="1"/>
  <c r="V32" i="1" s="1"/>
  <c r="U30" i="1"/>
  <c r="T30" i="1"/>
  <c r="S30" i="1"/>
  <c r="R30" i="1"/>
  <c r="R32" i="1" s="1"/>
  <c r="Q30" i="1"/>
  <c r="Q32" i="1" s="1"/>
  <c r="P30" i="1"/>
  <c r="P32" i="1" s="1"/>
  <c r="O30" i="1"/>
  <c r="O32" i="1" s="1"/>
  <c r="N30" i="1"/>
  <c r="N32" i="1" s="1"/>
  <c r="M30" i="1"/>
  <c r="M32" i="1" s="1"/>
  <c r="L30" i="1"/>
  <c r="L32" i="1" s="1"/>
  <c r="K30" i="1"/>
  <c r="J30" i="1"/>
  <c r="J32" i="1" s="1"/>
  <c r="I30" i="1"/>
  <c r="I32" i="1" s="1"/>
  <c r="H30" i="1"/>
  <c r="H32" i="1" s="1"/>
  <c r="G30" i="1"/>
  <c r="G32" i="1" s="1"/>
  <c r="F30" i="1"/>
  <c r="F32" i="1" s="1"/>
  <c r="E30" i="1"/>
  <c r="E32" i="1" s="1"/>
  <c r="G24" i="1"/>
  <c r="G26" i="1" s="1"/>
  <c r="F24" i="1"/>
  <c r="F26" i="1" s="1"/>
  <c r="E24" i="1"/>
  <c r="E26" i="1" s="1"/>
  <c r="L23" i="1"/>
  <c r="K23" i="1"/>
  <c r="L21" i="1"/>
  <c r="K21" i="1"/>
  <c r="J21" i="1"/>
  <c r="J23" i="1" s="1"/>
  <c r="I21" i="1"/>
  <c r="I23" i="1" s="1"/>
  <c r="H21" i="1"/>
  <c r="H23" i="1" s="1"/>
  <c r="G21" i="1"/>
  <c r="G23" i="1" s="1"/>
  <c r="F21" i="1"/>
  <c r="F23" i="1" s="1"/>
  <c r="AA20" i="1"/>
  <c r="AA18" i="1" s="1"/>
  <c r="Z20" i="1"/>
  <c r="Z18" i="1" s="1"/>
  <c r="Y20" i="1"/>
  <c r="Y18" i="1" s="1"/>
  <c r="X20" i="1"/>
  <c r="W20" i="1"/>
  <c r="W18" i="1" s="1"/>
  <c r="F20" i="1"/>
  <c r="F18" i="1" s="1"/>
  <c r="E20" i="1"/>
  <c r="E18" i="1" s="1"/>
  <c r="D20" i="1"/>
  <c r="D18" i="1" s="1"/>
  <c r="X18" i="1"/>
  <c r="AA17" i="1"/>
  <c r="Z17" i="1"/>
  <c r="Y17" i="1"/>
  <c r="X17" i="1"/>
  <c r="W17" i="1"/>
  <c r="V17" i="1"/>
  <c r="U17" i="1"/>
  <c r="T17" i="1"/>
  <c r="S17" i="1"/>
  <c r="R17" i="1"/>
  <c r="AC15" i="1"/>
  <c r="S14" i="1"/>
  <c r="Q14" i="1"/>
  <c r="K14" i="1"/>
  <c r="G14" i="1"/>
  <c r="F14" i="1"/>
  <c r="Y14" i="1"/>
  <c r="X14" i="1"/>
  <c r="R14" i="1"/>
  <c r="P14" i="1"/>
  <c r="O14" i="1"/>
  <c r="N14" i="1"/>
  <c r="M14" i="1"/>
  <c r="L14" i="1"/>
  <c r="J14" i="1"/>
  <c r="I14" i="1"/>
  <c r="W11" i="1"/>
  <c r="V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U9" i="1"/>
  <c r="W14" i="1" s="1"/>
  <c r="T9" i="1"/>
  <c r="V14" i="1" s="1"/>
  <c r="S9" i="1"/>
  <c r="U14" i="1" s="1"/>
  <c r="R9" i="1"/>
  <c r="T14" i="1" s="1"/>
  <c r="D92" i="1" l="1"/>
  <c r="D93" i="1" s="1"/>
  <c r="Z87" i="1" s="1"/>
  <c r="Z88" i="1" s="1"/>
  <c r="Z29" i="1" s="1"/>
  <c r="C91" i="1"/>
  <c r="C89" i="1"/>
  <c r="K87" i="1"/>
  <c r="K88" i="1" s="1"/>
  <c r="K29" i="1" s="1"/>
  <c r="K27" i="1" s="1"/>
  <c r="AC30" i="1"/>
  <c r="K32" i="1"/>
  <c r="P87" i="1"/>
  <c r="P88" i="1" s="1"/>
  <c r="P29" i="1" s="1"/>
  <c r="P27" i="1" s="1"/>
  <c r="G87" i="1"/>
  <c r="G88" i="1" s="1"/>
  <c r="G29" i="1" s="1"/>
  <c r="G27" i="1" s="1"/>
  <c r="F87" i="1"/>
  <c r="F88" i="1" s="1"/>
  <c r="F29" i="1" s="1"/>
  <c r="F27" i="1" s="1"/>
  <c r="AC18" i="1"/>
  <c r="AC12" i="1"/>
  <c r="V87" i="1"/>
  <c r="V88" i="1" s="1"/>
  <c r="V29" i="1" s="1"/>
  <c r="V27" i="1" s="1"/>
  <c r="Y87" i="1"/>
  <c r="Y88" i="1" s="1"/>
  <c r="Y29" i="1" s="1"/>
  <c r="Y27" i="1" s="1"/>
  <c r="N87" i="1"/>
  <c r="N88" i="1" s="1"/>
  <c r="N29" i="1" s="1"/>
  <c r="N27" i="1" s="1"/>
  <c r="O87" i="1"/>
  <c r="O88" i="1" s="1"/>
  <c r="O29" i="1" s="1"/>
  <c r="O27" i="1" s="1"/>
  <c r="AC24" i="1"/>
  <c r="AC9" i="1"/>
  <c r="S11" i="1"/>
  <c r="T11" i="1"/>
  <c r="AC21" i="1"/>
  <c r="R11" i="1"/>
  <c r="U11" i="1"/>
  <c r="H14" i="1"/>
  <c r="G37" i="1"/>
  <c r="G38" i="1" s="1"/>
  <c r="Z27" i="1" l="1"/>
  <c r="Z37" i="1"/>
  <c r="Z38" i="1" s="1"/>
  <c r="D87" i="1"/>
  <c r="D88" i="1" s="1"/>
  <c r="D29" i="1" s="1"/>
  <c r="I87" i="1"/>
  <c r="I88" i="1" s="1"/>
  <c r="I29" i="1" s="1"/>
  <c r="I27" i="1" s="1"/>
  <c r="W87" i="1"/>
  <c r="W88" i="1" s="1"/>
  <c r="W29" i="1" s="1"/>
  <c r="W27" i="1" s="1"/>
  <c r="E87" i="1"/>
  <c r="E88" i="1" s="1"/>
  <c r="E29" i="1" s="1"/>
  <c r="AA87" i="1"/>
  <c r="AA88" i="1" s="1"/>
  <c r="AA29" i="1" s="1"/>
  <c r="L87" i="1"/>
  <c r="L88" i="1" s="1"/>
  <c r="L29" i="1" s="1"/>
  <c r="L27" i="1" s="1"/>
  <c r="Q87" i="1"/>
  <c r="Q88" i="1" s="1"/>
  <c r="Q29" i="1" s="1"/>
  <c r="N37" i="1"/>
  <c r="N38" i="1" s="1"/>
  <c r="K37" i="1"/>
  <c r="K38" i="1" s="1"/>
  <c r="J87" i="1"/>
  <c r="J88" i="1" s="1"/>
  <c r="J29" i="1" s="1"/>
  <c r="P37" i="1"/>
  <c r="P38" i="1" s="1"/>
  <c r="M87" i="1"/>
  <c r="M88" i="1" s="1"/>
  <c r="M29" i="1" s="1"/>
  <c r="M27" i="1" s="1"/>
  <c r="X87" i="1"/>
  <c r="X88" i="1" s="1"/>
  <c r="X29" i="1" s="1"/>
  <c r="X27" i="1" s="1"/>
  <c r="F37" i="1"/>
  <c r="F38" i="1" s="1"/>
  <c r="V37" i="1"/>
  <c r="V38" i="1" s="1"/>
  <c r="H87" i="1"/>
  <c r="H88" i="1" s="1"/>
  <c r="H29" i="1" s="1"/>
  <c r="H27" i="1" s="1"/>
  <c r="R87" i="1"/>
  <c r="R88" i="1" s="1"/>
  <c r="R29" i="1" s="1"/>
  <c r="R27" i="1" s="1"/>
  <c r="X37" i="1"/>
  <c r="X38" i="1" s="1"/>
  <c r="Y37" i="1"/>
  <c r="Y38" i="1" s="1"/>
  <c r="U87" i="1"/>
  <c r="U88" i="1" s="1"/>
  <c r="U29" i="1" s="1"/>
  <c r="U27" i="1" s="1"/>
  <c r="I37" i="1"/>
  <c r="I38" i="1" s="1"/>
  <c r="T87" i="1"/>
  <c r="T88" i="1" s="1"/>
  <c r="T29" i="1" s="1"/>
  <c r="T27" i="1" s="1"/>
  <c r="O37" i="1"/>
  <c r="O38" i="1" s="1"/>
  <c r="S87" i="1"/>
  <c r="S88" i="1" s="1"/>
  <c r="S29" i="1" s="1"/>
  <c r="S27" i="1" s="1"/>
  <c r="M37" i="1"/>
  <c r="M38" i="1" s="1"/>
  <c r="D27" i="1" l="1"/>
  <c r="D37" i="1"/>
  <c r="Q27" i="1"/>
  <c r="Q37" i="1"/>
  <c r="Q38" i="1" s="1"/>
  <c r="AA27" i="1"/>
  <c r="AA37" i="1"/>
  <c r="AA38" i="1" s="1"/>
  <c r="W37" i="1"/>
  <c r="W38" i="1" s="1"/>
  <c r="L37" i="1"/>
  <c r="L38" i="1" s="1"/>
  <c r="E27" i="1"/>
  <c r="E37" i="1"/>
  <c r="E38" i="1" s="1"/>
  <c r="J27" i="1"/>
  <c r="J37" i="1"/>
  <c r="J38" i="1" s="1"/>
  <c r="AC27" i="1"/>
  <c r="S37" i="1"/>
  <c r="S38" i="1" s="1"/>
  <c r="R37" i="1"/>
  <c r="R38" i="1" s="1"/>
  <c r="H37" i="1"/>
  <c r="H38" i="1" s="1"/>
  <c r="U37" i="1"/>
  <c r="U38" i="1" s="1"/>
  <c r="T37" i="1"/>
  <c r="T38" i="1" s="1"/>
  <c r="D39" i="1" l="1"/>
  <c r="E39" i="1" s="1"/>
  <c r="F39" i="1" s="1"/>
  <c r="G39" i="1" s="1"/>
  <c r="D38" i="1"/>
  <c r="D40" i="1" s="1"/>
  <c r="E40" i="1" s="1"/>
  <c r="F40" i="1" s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S40" i="1" s="1"/>
  <c r="T40" i="1" s="1"/>
  <c r="U40" i="1" s="1"/>
  <c r="V40" i="1" s="1"/>
  <c r="W40" i="1" s="1"/>
  <c r="X40" i="1" s="1"/>
  <c r="Y40" i="1" s="1"/>
  <c r="Z40" i="1" s="1"/>
  <c r="AA40" i="1" s="1"/>
  <c r="H39" i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D96" i="1" s="1"/>
</calcChain>
</file>

<file path=xl/sharedStrings.xml><?xml version="1.0" encoding="utf-8"?>
<sst xmlns="http://schemas.openxmlformats.org/spreadsheetml/2006/main" count="106" uniqueCount="54">
  <si>
    <t>Processo : 202200036009712</t>
  </si>
  <si>
    <t>Obra: Terraplenagem, Pavimentação e Obras de Artes Especiais</t>
  </si>
  <si>
    <t>Rodovia: GO-230, Entr. BR-251 (A) Vila Propício / Entr. BR-414 (B)</t>
  </si>
  <si>
    <t>Extensão: 32,66 km</t>
  </si>
  <si>
    <t>Prazo: 24 meses</t>
  </si>
  <si>
    <t>CRONOGRAMA FÍSICO - FINANCEIRO</t>
  </si>
  <si>
    <t>FÍSICO</t>
  </si>
  <si>
    <t>ATIVIDADES</t>
  </si>
  <si>
    <t>VALOR ETAPA - R$</t>
  </si>
  <si>
    <t>MÊS</t>
  </si>
  <si>
    <t>SERVIÇOS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</si>
  <si>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</si>
  <si>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</si>
  <si>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</si>
  <si>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</si>
  <si>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</si>
  <si>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</si>
  <si>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</si>
  <si>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</si>
  <si>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</si>
  <si>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</si>
  <si>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</si>
  <si>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</si>
  <si>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13º MÊS</t>
  </si>
  <si>
    <t>14º MÊS</t>
  </si>
  <si>
    <t>15º MÊS</t>
  </si>
  <si>
    <t>16º MÊS</t>
  </si>
  <si>
    <t>17º MÊS</t>
  </si>
  <si>
    <t>18º MÊS</t>
  </si>
  <si>
    <t>19º MÊS</t>
  </si>
  <si>
    <t>20º MÊS</t>
  </si>
  <si>
    <t>21º MÊS</t>
  </si>
  <si>
    <t>22º MÊS</t>
  </si>
  <si>
    <t>23º MÊS</t>
  </si>
  <si>
    <t>24º MÊS</t>
  </si>
  <si>
    <t>TERRAPLENAGEM</t>
  </si>
  <si>
    <t>-</t>
  </si>
  <si>
    <t>PAVIMENTAÇÃO</t>
  </si>
  <si>
    <t>DRENAGEM</t>
  </si>
  <si>
    <t>OBRAS COMPLEMENTARES</t>
  </si>
  <si>
    <t>OAC</t>
  </si>
  <si>
    <t>OAE</t>
  </si>
  <si>
    <t>ADMINISTRATIVO</t>
  </si>
  <si>
    <t>ADMINISTRAÇÃO LOCAL</t>
  </si>
  <si>
    <t>CANTEIRO DE OBRAS</t>
  </si>
  <si>
    <t>MOBILIZAÇÃO/DESMOBILIZAÇÃO</t>
  </si>
  <si>
    <t>TOTAL</t>
  </si>
  <si>
    <t>FINANCEIRO</t>
  </si>
  <si>
    <t>PARCIAL ( R$ )</t>
  </si>
  <si>
    <t>PERCENTUAL PARCIAL ( % )</t>
  </si>
  <si>
    <t>ACUMULADO ( R$ )</t>
  </si>
  <si>
    <t>PERCENTUAL ACUMULADO ( % )</t>
  </si>
  <si>
    <t>Cronograma de acordo com prazo estabelecido pelo projetista, adequado ao orçamento da obra.</t>
  </si>
  <si>
    <t>O prazo de obra estabelecido de acordo com os meses trabalhados, não contemplando paralizações pelo periodo chuvoso.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</si>
</sst>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Fill="1"/>
    <xf numFmtId="4" fontId="0" fillId="0" borderId="0" xfId="0" applyNumberFormat="1"/>
    <xf numFmtId="0" fontId="3" fillId="0" borderId="0" xfId="0" applyFont="1"/>
    <xf numFmtId="43" fontId="0" fillId="0" borderId="0" xfId="0" applyNumberFormat="1"/>
    <xf numFmtId="0" fontId="2" fillId="0" borderId="1" xfId="0" applyFont="1" applyBorder="1" applyAlignment="1"/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"/>
    </xf>
    <xf numFmtId="10" fontId="6" fillId="3" borderId="6" xfId="2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10" fontId="0" fillId="0" borderId="0" xfId="0" applyNumberFormat="1"/>
    <xf numFmtId="0" fontId="6" fillId="4" borderId="6" xfId="0" applyFont="1" applyFill="1" applyBorder="1" applyAlignment="1">
      <alignment horizontal="center"/>
    </xf>
    <xf numFmtId="10" fontId="6" fillId="3" borderId="6" xfId="0" applyNumberFormat="1" applyFont="1" applyFill="1" applyBorder="1" applyAlignment="1">
      <alignment horizontal="center"/>
    </xf>
    <xf numFmtId="43" fontId="6" fillId="0" borderId="6" xfId="1" applyFont="1" applyFill="1" applyBorder="1" applyAlignment="1">
      <alignment horizontal="center"/>
    </xf>
    <xf numFmtId="0" fontId="6" fillId="3" borderId="6" xfId="0" applyFont="1" applyFill="1" applyBorder="1"/>
    <xf numFmtId="10" fontId="6" fillId="0" borderId="6" xfId="2" applyNumberFormat="1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0" fontId="6" fillId="0" borderId="6" xfId="0" applyNumberFormat="1" applyFont="1" applyFill="1" applyBorder="1" applyAlignment="1">
      <alignment horizontal="center"/>
    </xf>
    <xf numFmtId="0" fontId="6" fillId="0" borderId="6" xfId="0" applyFont="1" applyFill="1" applyBorder="1"/>
    <xf numFmtId="10" fontId="6" fillId="4" borderId="6" xfId="0" applyNumberFormat="1" applyFont="1" applyFill="1" applyBorder="1" applyAlignment="1">
      <alignment horizontal="center"/>
    </xf>
    <xf numFmtId="43" fontId="6" fillId="0" borderId="6" xfId="1" applyFont="1" applyBorder="1" applyAlignment="1">
      <alignment horizontal="center"/>
    </xf>
    <xf numFmtId="43" fontId="6" fillId="3" borderId="6" xfId="1" applyFont="1" applyFill="1" applyBorder="1" applyAlignment="1">
      <alignment horizontal="center"/>
    </xf>
    <xf numFmtId="0" fontId="7" fillId="0" borderId="6" xfId="0" applyFont="1" applyBorder="1"/>
    <xf numFmtId="10" fontId="6" fillId="4" borderId="8" xfId="0" applyNumberFormat="1" applyFont="1" applyFill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43" fontId="8" fillId="0" borderId="5" xfId="1" applyNumberFormat="1" applyFont="1" applyBorder="1" applyAlignment="1">
      <alignment horizontal="center" vertical="center"/>
    </xf>
    <xf numFmtId="43" fontId="6" fillId="0" borderId="8" xfId="1" applyFont="1" applyBorder="1" applyAlignment="1">
      <alignment horizontal="center"/>
    </xf>
    <xf numFmtId="43" fontId="6" fillId="0" borderId="6" xfId="2" applyNumberFormat="1" applyFont="1" applyBorder="1"/>
    <xf numFmtId="10" fontId="6" fillId="0" borderId="6" xfId="2" applyNumberFormat="1" applyFont="1" applyBorder="1"/>
    <xf numFmtId="43" fontId="6" fillId="0" borderId="6" xfId="0" applyNumberFormat="1" applyFont="1" applyBorder="1"/>
    <xf numFmtId="0" fontId="5" fillId="0" borderId="0" xfId="0" applyFont="1" applyAlignment="1">
      <alignment horizontal="center"/>
    </xf>
    <xf numFmtId="10" fontId="5" fillId="0" borderId="0" xfId="2" applyNumberFormat="1" applyFont="1" applyBorder="1"/>
    <xf numFmtId="43" fontId="9" fillId="0" borderId="0" xfId="0" applyNumberFormat="1" applyFont="1"/>
    <xf numFmtId="0" fontId="0" fillId="0" borderId="0" xfId="2" applyNumberFormat="1" applyFont="1"/>
    <xf numFmtId="0" fontId="0" fillId="2" borderId="2" xfId="0" applyFill="1" applyBorder="1" applyAlignment="1">
      <alignment horizontal="center" vertical="center" textRotation="90"/>
    </xf>
    <xf numFmtId="0" fontId="0" fillId="2" borderId="7" xfId="0" applyFill="1" applyBorder="1" applyAlignment="1">
      <alignment horizontal="center" vertical="center" textRotation="90"/>
    </xf>
    <xf numFmtId="0" fontId="0" fillId="2" borderId="8" xfId="0" applyFill="1" applyBorder="1" applyAlignment="1">
      <alignment horizontal="center" vertical="center" textRotation="90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3" fontId="5" fillId="3" borderId="2" xfId="1" applyFont="1" applyFill="1" applyBorder="1" applyAlignment="1">
      <alignment horizontal="center" vertical="center"/>
    </xf>
    <xf numFmtId="43" fontId="5" fillId="3" borderId="7" xfId="1" applyFont="1" applyFill="1" applyBorder="1" applyAlignment="1">
      <alignment horizontal="center" vertical="center"/>
    </xf>
    <xf numFmtId="43" fontId="5" fillId="3" borderId="8" xfId="1" applyFont="1" applyFill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7" xfId="1" applyFont="1" applyBorder="1" applyAlignment="1">
      <alignment horizontal="center" vertical="center"/>
    </xf>
    <xf numFmtId="43" fontId="5" fillId="0" borderId="8" xfId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104775</xdr:rowOff>
    </xdr:from>
    <xdr:to>
      <xdr:col>1</xdr:col>
      <xdr:colOff>1819275</xdr:colOff>
      <xdr:row>4</xdr:row>
      <xdr:rowOff>107680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8DDC4CD-D3B9-4A6B-A2C2-17A76EE45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104775"/>
          <a:ext cx="1409700" cy="774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6"/>
  <sheetViews>
    <sheetView showGridLines="0" tabSelected="1" view="pageBreakPreview" zoomScale="70" zoomScaleNormal="70" zoomScaleSheetLayoutView="70" workbookViewId="0">
      <selection activeCell="H79" sqref="H79"/>
    </sheetView>
  </sheetViews>
  <sheetFormatPr defaultRowHeight="15" x14ac:dyDescent="0.25"/>
  <cols>
    <col min="2" max="2" width="28.140625" customWidth="1"/>
    <col min="3" max="3" width="17.28515625" bestFit="1" customWidth="1"/>
    <col min="4" max="27" width="13.7109375" customWidth="1"/>
  </cols>
  <sheetData>
    <row r="1" spans="1:29" x14ac:dyDescent="0.25">
      <c r="D1" s="1" t="s">
        <v>0</v>
      </c>
    </row>
    <row r="2" spans="1:29" x14ac:dyDescent="0.25">
      <c r="D2" s="1" t="s">
        <v>1</v>
      </c>
      <c r="L2" s="2"/>
      <c r="M2" s="2"/>
    </row>
    <row r="3" spans="1:29" ht="15.75" x14ac:dyDescent="0.25">
      <c r="D3" s="1" t="s">
        <v>2</v>
      </c>
      <c r="I3" s="3"/>
      <c r="L3" s="2"/>
      <c r="M3" s="2"/>
    </row>
    <row r="4" spans="1:29" x14ac:dyDescent="0.25">
      <c r="D4" s="1" t="s">
        <v>3</v>
      </c>
      <c r="L4" s="2"/>
      <c r="M4" s="2"/>
    </row>
    <row r="5" spans="1:29" x14ac:dyDescent="0.25">
      <c r="D5" s="1" t="s">
        <v>4</v>
      </c>
      <c r="F5" s="4"/>
    </row>
    <row r="6" spans="1:29" x14ac:dyDescent="0.25">
      <c r="A6" s="56" t="s">
        <v>5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9" x14ac:dyDescent="0.25">
      <c r="A7" s="34" t="s">
        <v>6</v>
      </c>
      <c r="B7" s="51" t="s">
        <v>7</v>
      </c>
      <c r="C7" s="51" t="s">
        <v>8</v>
      </c>
      <c r="D7" s="53" t="s">
        <v>9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5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9" x14ac:dyDescent="0.25">
      <c r="A8" s="35"/>
      <c r="B8" s="52" t="s">
        <v>10</v>
      </c>
      <c r="C8" s="52"/>
      <c r="D8" s="7" t="s">
        <v>11</v>
      </c>
      <c r="E8" s="7" t="s">
        <v>12</v>
      </c>
      <c r="F8" s="7" t="s">
        <v>13</v>
      </c>
      <c r="G8" s="7" t="s">
        <v>14</v>
      </c>
      <c r="H8" s="7" t="s">
        <v>15</v>
      </c>
      <c r="I8" s="7" t="s">
        <v>16</v>
      </c>
      <c r="J8" s="7" t="s">
        <v>17</v>
      </c>
      <c r="K8" s="7" t="s">
        <v>18</v>
      </c>
      <c r="L8" s="7" t="s">
        <v>19</v>
      </c>
      <c r="M8" s="7" t="s">
        <v>20</v>
      </c>
      <c r="N8" s="7" t="s">
        <v>21</v>
      </c>
      <c r="O8" s="7" t="s">
        <v>22</v>
      </c>
      <c r="P8" s="7" t="s">
        <v>23</v>
      </c>
      <c r="Q8" s="7" t="s">
        <v>24</v>
      </c>
      <c r="R8" s="7" t="s">
        <v>25</v>
      </c>
      <c r="S8" s="7" t="s">
        <v>26</v>
      </c>
      <c r="T8" s="7" t="s">
        <v>27</v>
      </c>
      <c r="U8" s="7" t="s">
        <v>28</v>
      </c>
      <c r="V8" s="7" t="s">
        <v>29</v>
      </c>
      <c r="W8" s="7" t="s">
        <v>30</v>
      </c>
      <c r="X8" s="7" t="s">
        <v>31</v>
      </c>
      <c r="Y8" s="7" t="s">
        <v>32</v>
      </c>
      <c r="Z8" s="7" t="s">
        <v>33</v>
      </c>
      <c r="AA8" s="7" t="s">
        <v>34</v>
      </c>
    </row>
    <row r="9" spans="1:29" x14ac:dyDescent="0.25">
      <c r="A9" s="35"/>
      <c r="B9" s="48" t="s">
        <v>35</v>
      </c>
      <c r="C9" s="42">
        <v>11188293.949999999</v>
      </c>
      <c r="D9" s="8">
        <v>0.02</v>
      </c>
      <c r="E9" s="8">
        <v>0.03</v>
      </c>
      <c r="F9" s="8">
        <v>0.05</v>
      </c>
      <c r="G9" s="8">
        <v>0.05</v>
      </c>
      <c r="H9" s="8">
        <v>0.05</v>
      </c>
      <c r="I9" s="8">
        <v>0.05</v>
      </c>
      <c r="J9" s="8">
        <v>7.0000000000000007E-2</v>
      </c>
      <c r="K9" s="8">
        <v>7.0000000000000007E-2</v>
      </c>
      <c r="L9" s="8">
        <v>7.0000000000000007E-2</v>
      </c>
      <c r="M9" s="8">
        <v>7.0000000000000007E-2</v>
      </c>
      <c r="N9" s="8">
        <v>0.06</v>
      </c>
      <c r="O9" s="8">
        <v>0.05</v>
      </c>
      <c r="P9" s="8">
        <v>0.05</v>
      </c>
      <c r="Q9" s="8">
        <v>0.05</v>
      </c>
      <c r="R9" s="8">
        <f t="shared" ref="R9:U9" si="0">100/20/100</f>
        <v>0.05</v>
      </c>
      <c r="S9" s="8">
        <f t="shared" si="0"/>
        <v>0.05</v>
      </c>
      <c r="T9" s="8">
        <f t="shared" si="0"/>
        <v>0.05</v>
      </c>
      <c r="U9" s="8">
        <f t="shared" si="0"/>
        <v>0.05</v>
      </c>
      <c r="V9" s="8">
        <v>0.04</v>
      </c>
      <c r="W9" s="8">
        <v>0.02</v>
      </c>
      <c r="X9" s="9"/>
      <c r="Y9" s="9"/>
      <c r="Z9" s="9"/>
      <c r="AA9" s="9"/>
      <c r="AC9" s="10">
        <f>SUM(D9:AA9)</f>
        <v>1.0000000000000004</v>
      </c>
    </row>
    <row r="10" spans="1:29" x14ac:dyDescent="0.25">
      <c r="A10" s="35"/>
      <c r="B10" s="49"/>
      <c r="C10" s="43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2"/>
      <c r="Y10" s="12"/>
      <c r="Z10" s="12"/>
      <c r="AA10" s="12"/>
      <c r="AC10" t="s">
        <v>36</v>
      </c>
    </row>
    <row r="11" spans="1:29" x14ac:dyDescent="0.25">
      <c r="A11" s="35"/>
      <c r="B11" s="50"/>
      <c r="C11" s="44"/>
      <c r="D11" s="13">
        <f>$C$9*D9</f>
        <v>223765.87899999999</v>
      </c>
      <c r="E11" s="13">
        <f t="shared" ref="E11:W11" si="1">$C$9*E9</f>
        <v>335648.81849999999</v>
      </c>
      <c r="F11" s="13">
        <f t="shared" si="1"/>
        <v>559414.69750000001</v>
      </c>
      <c r="G11" s="13">
        <f t="shared" si="1"/>
        <v>559414.69750000001</v>
      </c>
      <c r="H11" s="13">
        <f t="shared" si="1"/>
        <v>559414.69750000001</v>
      </c>
      <c r="I11" s="13">
        <f t="shared" si="1"/>
        <v>559414.69750000001</v>
      </c>
      <c r="J11" s="13">
        <f t="shared" si="1"/>
        <v>783180.57649999997</v>
      </c>
      <c r="K11" s="13">
        <f t="shared" si="1"/>
        <v>783180.57649999997</v>
      </c>
      <c r="L11" s="13">
        <f t="shared" si="1"/>
        <v>783180.57649999997</v>
      </c>
      <c r="M11" s="13">
        <f t="shared" si="1"/>
        <v>783180.57649999997</v>
      </c>
      <c r="N11" s="13">
        <f t="shared" si="1"/>
        <v>671297.63699999999</v>
      </c>
      <c r="O11" s="13">
        <f t="shared" si="1"/>
        <v>559414.69750000001</v>
      </c>
      <c r="P11" s="13">
        <f t="shared" si="1"/>
        <v>559414.69750000001</v>
      </c>
      <c r="Q11" s="13">
        <f t="shared" si="1"/>
        <v>559414.69750000001</v>
      </c>
      <c r="R11" s="13">
        <f t="shared" si="1"/>
        <v>559414.69750000001</v>
      </c>
      <c r="S11" s="13">
        <f t="shared" si="1"/>
        <v>559414.69750000001</v>
      </c>
      <c r="T11" s="13">
        <f t="shared" si="1"/>
        <v>559414.69750000001</v>
      </c>
      <c r="U11" s="13">
        <f t="shared" si="1"/>
        <v>559414.69750000001</v>
      </c>
      <c r="V11" s="13">
        <f t="shared" si="1"/>
        <v>447531.75799999997</v>
      </c>
      <c r="W11" s="13">
        <f t="shared" si="1"/>
        <v>223765.87899999999</v>
      </c>
      <c r="X11" s="14"/>
      <c r="Y11" s="14"/>
      <c r="Z11" s="14"/>
      <c r="AA11" s="14"/>
      <c r="AC11" t="s">
        <v>36</v>
      </c>
    </row>
    <row r="12" spans="1:29" x14ac:dyDescent="0.25">
      <c r="A12" s="35"/>
      <c r="B12" s="48" t="s">
        <v>37</v>
      </c>
      <c r="C12" s="42">
        <v>47899139.640000001</v>
      </c>
      <c r="D12" s="9"/>
      <c r="E12" s="15"/>
      <c r="F12" s="8">
        <v>0.02</v>
      </c>
      <c r="G12" s="8">
        <v>0.03</v>
      </c>
      <c r="H12" s="8">
        <v>0.05</v>
      </c>
      <c r="I12" s="8">
        <v>0.05</v>
      </c>
      <c r="J12" s="8">
        <v>0.05</v>
      </c>
      <c r="K12" s="8">
        <v>0.05</v>
      </c>
      <c r="L12" s="8">
        <v>7.0000000000000007E-2</v>
      </c>
      <c r="M12" s="8">
        <v>7.0000000000000007E-2</v>
      </c>
      <c r="N12" s="8">
        <v>7.0000000000000007E-2</v>
      </c>
      <c r="O12" s="8">
        <v>7.0000000000000007E-2</v>
      </c>
      <c r="P12" s="8">
        <v>0.06</v>
      </c>
      <c r="Q12" s="8">
        <v>0.05</v>
      </c>
      <c r="R12" s="8">
        <v>0.05</v>
      </c>
      <c r="S12" s="8">
        <v>0.05</v>
      </c>
      <c r="T12" s="8">
        <v>0.05</v>
      </c>
      <c r="U12" s="8">
        <v>0.05</v>
      </c>
      <c r="V12" s="8">
        <v>0.05</v>
      </c>
      <c r="W12" s="8">
        <v>0.05</v>
      </c>
      <c r="X12" s="8">
        <v>0.04</v>
      </c>
      <c r="Y12" s="8">
        <v>0.02</v>
      </c>
      <c r="Z12" s="16"/>
      <c r="AA12" s="16"/>
      <c r="AC12" s="10">
        <f t="shared" ref="AC12" si="2">SUM(D12:AA12)</f>
        <v>1.0000000000000004</v>
      </c>
    </row>
    <row r="13" spans="1:29" x14ac:dyDescent="0.25">
      <c r="A13" s="35"/>
      <c r="B13" s="49"/>
      <c r="C13" s="43"/>
      <c r="D13" s="12"/>
      <c r="E13" s="1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7"/>
      <c r="AA13" s="17"/>
      <c r="AC13" t="s">
        <v>36</v>
      </c>
    </row>
    <row r="14" spans="1:29" x14ac:dyDescent="0.25">
      <c r="A14" s="35"/>
      <c r="B14" s="50"/>
      <c r="C14" s="44"/>
      <c r="D14" s="14"/>
      <c r="E14" s="13"/>
      <c r="F14" s="13">
        <f>$C$12*F12</f>
        <v>957982.79280000005</v>
      </c>
      <c r="G14" s="13">
        <f t="shared" ref="G14:Y14" si="3">$C$12*G12</f>
        <v>1436974.1891999999</v>
      </c>
      <c r="H14" s="13">
        <f t="shared" si="3"/>
        <v>2394956.9820000003</v>
      </c>
      <c r="I14" s="13">
        <f t="shared" si="3"/>
        <v>2394956.9820000003</v>
      </c>
      <c r="J14" s="13">
        <f t="shared" si="3"/>
        <v>2394956.9820000003</v>
      </c>
      <c r="K14" s="13">
        <f t="shared" si="3"/>
        <v>2394956.9820000003</v>
      </c>
      <c r="L14" s="13">
        <f t="shared" si="3"/>
        <v>3352939.7748000002</v>
      </c>
      <c r="M14" s="13">
        <f t="shared" si="3"/>
        <v>3352939.7748000002</v>
      </c>
      <c r="N14" s="13">
        <f t="shared" si="3"/>
        <v>3352939.7748000002</v>
      </c>
      <c r="O14" s="13">
        <f t="shared" si="3"/>
        <v>3352939.7748000002</v>
      </c>
      <c r="P14" s="13">
        <f t="shared" si="3"/>
        <v>2873948.3783999998</v>
      </c>
      <c r="Q14" s="13">
        <f t="shared" si="3"/>
        <v>2394956.9820000003</v>
      </c>
      <c r="R14" s="13">
        <f t="shared" si="3"/>
        <v>2394956.9820000003</v>
      </c>
      <c r="S14" s="13">
        <f t="shared" si="3"/>
        <v>2394956.9820000003</v>
      </c>
      <c r="T14" s="13">
        <f t="shared" si="3"/>
        <v>2394956.9820000003</v>
      </c>
      <c r="U14" s="13">
        <f t="shared" si="3"/>
        <v>2394956.9820000003</v>
      </c>
      <c r="V14" s="13">
        <f t="shared" si="3"/>
        <v>2394956.9820000003</v>
      </c>
      <c r="W14" s="13">
        <f t="shared" si="3"/>
        <v>2394956.9820000003</v>
      </c>
      <c r="X14" s="13">
        <f t="shared" si="3"/>
        <v>1915965.5856000001</v>
      </c>
      <c r="Y14" s="13">
        <f t="shared" si="3"/>
        <v>957982.79280000005</v>
      </c>
      <c r="Z14" s="18"/>
      <c r="AA14" s="18"/>
      <c r="AC14" t="s">
        <v>36</v>
      </c>
    </row>
    <row r="15" spans="1:29" x14ac:dyDescent="0.25">
      <c r="A15" s="35"/>
      <c r="B15" s="48" t="s">
        <v>38</v>
      </c>
      <c r="C15" s="42">
        <v>2063560.75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8">
        <v>0.06</v>
      </c>
      <c r="S15" s="8">
        <v>0.06</v>
      </c>
      <c r="T15" s="8">
        <v>0.08</v>
      </c>
      <c r="U15" s="8">
        <v>0.12</v>
      </c>
      <c r="V15" s="8">
        <v>0.12</v>
      </c>
      <c r="W15" s="8">
        <v>0.12</v>
      </c>
      <c r="X15" s="8">
        <v>0.12</v>
      </c>
      <c r="Y15" s="8">
        <v>0.12</v>
      </c>
      <c r="Z15" s="8">
        <v>0.1</v>
      </c>
      <c r="AA15" s="8">
        <v>0.1</v>
      </c>
      <c r="AC15" s="10">
        <f t="shared" ref="AC15" si="4">SUM(D15:AA15)</f>
        <v>1</v>
      </c>
    </row>
    <row r="16" spans="1:29" x14ac:dyDescent="0.25">
      <c r="A16" s="35"/>
      <c r="B16" s="49"/>
      <c r="C16" s="43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1"/>
      <c r="S16" s="11"/>
      <c r="T16" s="11"/>
      <c r="U16" s="11"/>
      <c r="V16" s="11"/>
      <c r="W16" s="11"/>
      <c r="X16" s="11"/>
      <c r="Y16" s="11"/>
      <c r="Z16" s="11"/>
      <c r="AA16" s="11"/>
      <c r="AC16" t="s">
        <v>36</v>
      </c>
    </row>
    <row r="17" spans="1:29" x14ac:dyDescent="0.25">
      <c r="A17" s="35"/>
      <c r="B17" s="50"/>
      <c r="C17" s="44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>
        <f>$C$15*R15</f>
        <v>123813.64499999999</v>
      </c>
      <c r="S17" s="13">
        <f t="shared" ref="S17:AA17" si="5">$C$15*S15</f>
        <v>123813.64499999999</v>
      </c>
      <c r="T17" s="13">
        <f t="shared" si="5"/>
        <v>165084.86000000002</v>
      </c>
      <c r="U17" s="13">
        <f t="shared" si="5"/>
        <v>247627.28999999998</v>
      </c>
      <c r="V17" s="13">
        <f t="shared" si="5"/>
        <v>247627.28999999998</v>
      </c>
      <c r="W17" s="13">
        <f t="shared" si="5"/>
        <v>247627.28999999998</v>
      </c>
      <c r="X17" s="13">
        <f t="shared" si="5"/>
        <v>247627.28999999998</v>
      </c>
      <c r="Y17" s="13">
        <f t="shared" si="5"/>
        <v>247627.28999999998</v>
      </c>
      <c r="Z17" s="13">
        <f t="shared" si="5"/>
        <v>206356.07500000001</v>
      </c>
      <c r="AA17" s="13">
        <f t="shared" si="5"/>
        <v>206356.07500000001</v>
      </c>
      <c r="AC17" t="s">
        <v>36</v>
      </c>
    </row>
    <row r="18" spans="1:29" x14ac:dyDescent="0.25">
      <c r="A18" s="35"/>
      <c r="B18" s="48" t="s">
        <v>39</v>
      </c>
      <c r="C18" s="42">
        <v>4334095.97</v>
      </c>
      <c r="D18" s="8">
        <f>D20/$C$18</f>
        <v>7.369842189565852E-2</v>
      </c>
      <c r="E18" s="8">
        <f>E20/$C$18</f>
        <v>7.369842189565852E-2</v>
      </c>
      <c r="F18" s="8">
        <f>F20/$C$18</f>
        <v>7.369842189565852E-2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>
        <f>W20/$C$18</f>
        <v>0.15578094686260488</v>
      </c>
      <c r="X18" s="15">
        <f t="shared" ref="X18:AA18" si="6">X20/$C$18</f>
        <v>0.15578094686260488</v>
      </c>
      <c r="Y18" s="15">
        <f t="shared" si="6"/>
        <v>0.15578094686260488</v>
      </c>
      <c r="Z18" s="15">
        <f t="shared" si="6"/>
        <v>0.15578094686260488</v>
      </c>
      <c r="AA18" s="15">
        <f t="shared" si="6"/>
        <v>0.15578094686260488</v>
      </c>
      <c r="AC18" s="10">
        <f t="shared" ref="AC18" si="7">SUM(D18:AA18)</f>
        <v>1</v>
      </c>
    </row>
    <row r="19" spans="1:29" x14ac:dyDescent="0.25">
      <c r="A19" s="35"/>
      <c r="B19" s="49"/>
      <c r="C19" s="43"/>
      <c r="D19" s="19"/>
      <c r="E19" s="19"/>
      <c r="F19" s="19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9"/>
      <c r="X19" s="19"/>
      <c r="Y19" s="19"/>
      <c r="Z19" s="19"/>
      <c r="AA19" s="19"/>
      <c r="AC19" t="s">
        <v>36</v>
      </c>
    </row>
    <row r="20" spans="1:29" x14ac:dyDescent="0.25">
      <c r="A20" s="35"/>
      <c r="B20" s="50"/>
      <c r="C20" s="44"/>
      <c r="D20" s="20">
        <f>958248.1/3</f>
        <v>319416.03333333333</v>
      </c>
      <c r="E20" s="20">
        <f t="shared" ref="E20:F20" si="8">958248.1/3</f>
        <v>319416.03333333333</v>
      </c>
      <c r="F20" s="20">
        <f t="shared" si="8"/>
        <v>319416.03333333333</v>
      </c>
      <c r="G20" s="20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>
        <f>(4334095.97-958248.1)/5</f>
        <v>675169.57399999991</v>
      </c>
      <c r="X20" s="13">
        <f t="shared" ref="X20:AA20" si="9">(4334095.97-958248.1)/5</f>
        <v>675169.57399999991</v>
      </c>
      <c r="Y20" s="13">
        <f t="shared" si="9"/>
        <v>675169.57399999991</v>
      </c>
      <c r="Z20" s="13">
        <f t="shared" si="9"/>
        <v>675169.57399999991</v>
      </c>
      <c r="AA20" s="13">
        <f t="shared" si="9"/>
        <v>675169.57399999991</v>
      </c>
      <c r="AC20" t="s">
        <v>36</v>
      </c>
    </row>
    <row r="21" spans="1:29" x14ac:dyDescent="0.25">
      <c r="A21" s="35"/>
      <c r="B21" s="48" t="s">
        <v>40</v>
      </c>
      <c r="C21" s="42">
        <v>2302991.0099999998</v>
      </c>
      <c r="D21" s="8"/>
      <c r="E21" s="15"/>
      <c r="F21" s="8">
        <f>100/7/100</f>
        <v>0.14285714285714288</v>
      </c>
      <c r="G21" s="8">
        <f t="shared" ref="G21:L21" si="10">100/7/100</f>
        <v>0.14285714285714288</v>
      </c>
      <c r="H21" s="8">
        <f t="shared" si="10"/>
        <v>0.14285714285714288</v>
      </c>
      <c r="I21" s="8">
        <f t="shared" si="10"/>
        <v>0.14285714285714288</v>
      </c>
      <c r="J21" s="8">
        <f t="shared" si="10"/>
        <v>0.14285714285714288</v>
      </c>
      <c r="K21" s="8">
        <f t="shared" si="10"/>
        <v>0.14285714285714288</v>
      </c>
      <c r="L21" s="8">
        <f t="shared" si="10"/>
        <v>0.14285714285714288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C21" s="10">
        <f t="shared" ref="AC21" si="11">SUM(D21:AA21)</f>
        <v>1.0000000000000002</v>
      </c>
    </row>
    <row r="22" spans="1:29" x14ac:dyDescent="0.25">
      <c r="A22" s="35"/>
      <c r="B22" s="49"/>
      <c r="C22" s="43"/>
      <c r="D22" s="12"/>
      <c r="E22" s="17"/>
      <c r="F22" s="19"/>
      <c r="G22" s="19"/>
      <c r="H22" s="19"/>
      <c r="I22" s="19"/>
      <c r="J22" s="19"/>
      <c r="K22" s="19"/>
      <c r="L22" s="19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C22" t="s">
        <v>36</v>
      </c>
    </row>
    <row r="23" spans="1:29" x14ac:dyDescent="0.25">
      <c r="A23" s="35"/>
      <c r="B23" s="50"/>
      <c r="C23" s="44"/>
      <c r="D23" s="20"/>
      <c r="E23" s="13"/>
      <c r="F23" s="20">
        <f>$C$21*F21</f>
        <v>328998.71571428573</v>
      </c>
      <c r="G23" s="20">
        <f>$C$21*G21</f>
        <v>328998.71571428573</v>
      </c>
      <c r="H23" s="20">
        <f>$C$21*H21</f>
        <v>328998.71571428573</v>
      </c>
      <c r="I23" s="20">
        <f t="shared" ref="I23:L23" si="12">$C$21*I21</f>
        <v>328998.71571428573</v>
      </c>
      <c r="J23" s="20">
        <f t="shared" si="12"/>
        <v>328998.71571428573</v>
      </c>
      <c r="K23" s="20">
        <f t="shared" si="12"/>
        <v>328998.71571428573</v>
      </c>
      <c r="L23" s="20">
        <f t="shared" si="12"/>
        <v>328998.71571428573</v>
      </c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C23" t="s">
        <v>36</v>
      </c>
    </row>
    <row r="24" spans="1:29" x14ac:dyDescent="0.25">
      <c r="A24" s="35"/>
      <c r="B24" s="39" t="s">
        <v>41</v>
      </c>
      <c r="C24" s="42">
        <v>2266890.16</v>
      </c>
      <c r="D24" s="15"/>
      <c r="E24" s="8">
        <f>100/3/100</f>
        <v>0.33333333333333337</v>
      </c>
      <c r="F24" s="8">
        <f t="shared" ref="F24:G24" si="13">100/3/100</f>
        <v>0.33333333333333337</v>
      </c>
      <c r="G24" s="8">
        <f t="shared" si="13"/>
        <v>0.33333333333333337</v>
      </c>
      <c r="H24" s="22"/>
      <c r="I24" s="22"/>
      <c r="J24" s="22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C24" s="10">
        <f t="shared" ref="AC24" si="14">SUM(D24:AA24)</f>
        <v>1</v>
      </c>
    </row>
    <row r="25" spans="1:29" x14ac:dyDescent="0.25">
      <c r="A25" s="35"/>
      <c r="B25" s="40"/>
      <c r="C25" s="43"/>
      <c r="D25" s="17"/>
      <c r="E25" s="19"/>
      <c r="F25" s="19"/>
      <c r="G25" s="19"/>
      <c r="H25" s="12"/>
      <c r="I25" s="12"/>
      <c r="J25" s="12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C25" t="s">
        <v>36</v>
      </c>
    </row>
    <row r="26" spans="1:29" x14ac:dyDescent="0.25">
      <c r="A26" s="35"/>
      <c r="B26" s="41"/>
      <c r="C26" s="44"/>
      <c r="D26" s="13"/>
      <c r="E26" s="20">
        <f>$C$24*E24</f>
        <v>755630.05333333346</v>
      </c>
      <c r="F26" s="20">
        <f t="shared" ref="F26:G26" si="15">$C$24*F24</f>
        <v>755630.05333333346</v>
      </c>
      <c r="G26" s="20">
        <f t="shared" si="15"/>
        <v>755630.05333333346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C26" t="s">
        <v>36</v>
      </c>
    </row>
    <row r="27" spans="1:29" x14ac:dyDescent="0.25">
      <c r="A27" s="34" t="s">
        <v>42</v>
      </c>
      <c r="B27" s="39" t="s">
        <v>43</v>
      </c>
      <c r="C27" s="42">
        <v>4241400.8899999997</v>
      </c>
      <c r="D27" s="8">
        <f>D29/$C$27</f>
        <v>2.6702322897360756E-2</v>
      </c>
      <c r="E27" s="8">
        <f t="shared" ref="E27:V27" si="16">E29/$C$27</f>
        <v>9.3062265605208198E-3</v>
      </c>
      <c r="F27" s="8">
        <f t="shared" si="16"/>
        <v>4.0844379722796857E-2</v>
      </c>
      <c r="G27" s="8">
        <f t="shared" si="16"/>
        <v>4.3064977294329392E-2</v>
      </c>
      <c r="H27" s="8">
        <f t="shared" si="16"/>
        <v>5.6395946576679713E-2</v>
      </c>
      <c r="I27" s="8">
        <f t="shared" si="16"/>
        <v>4.5880850579636666E-2</v>
      </c>
      <c r="J27" s="8">
        <f t="shared" si="16"/>
        <v>4.8994701978437194E-2</v>
      </c>
      <c r="K27" s="8">
        <f t="shared" si="16"/>
        <v>4.8994701978437194E-2</v>
      </c>
      <c r="L27" s="8">
        <f t="shared" si="16"/>
        <v>6.2325671260787516E-2</v>
      </c>
      <c r="M27" s="8">
        <f t="shared" si="16"/>
        <v>5.7747434776705388E-2</v>
      </c>
      <c r="N27" s="8">
        <f t="shared" si="16"/>
        <v>5.6190509077305127E-2</v>
      </c>
      <c r="O27" s="8">
        <f t="shared" si="16"/>
        <v>5.463358337790486E-2</v>
      </c>
      <c r="P27" s="8">
        <f t="shared" si="16"/>
        <v>4.7968098736729692E-2</v>
      </c>
      <c r="Q27" s="8">
        <f t="shared" si="16"/>
        <v>4.1302614095554538E-2</v>
      </c>
      <c r="R27" s="8">
        <f t="shared" si="16"/>
        <v>4.3025563516604755E-2</v>
      </c>
      <c r="S27" s="8">
        <f t="shared" si="16"/>
        <v>4.3025563516604755E-2</v>
      </c>
      <c r="T27" s="8">
        <f t="shared" si="16"/>
        <v>4.3599879990288151E-2</v>
      </c>
      <c r="U27" s="8">
        <f t="shared" si="16"/>
        <v>4.4748512937654972E-2</v>
      </c>
      <c r="V27" s="8">
        <f t="shared" si="16"/>
        <v>4.3191587238254697E-2</v>
      </c>
      <c r="W27" s="8">
        <f>W29/$C$27</f>
        <v>4.9473170620766199E-2</v>
      </c>
      <c r="X27" s="8">
        <f t="shared" ref="X27:AA27" si="17">X29/$C$27</f>
        <v>3.9693834580790503E-2</v>
      </c>
      <c r="Y27" s="8">
        <f t="shared" si="17"/>
        <v>2.6362865298440178E-2</v>
      </c>
      <c r="Z27" s="8">
        <f t="shared" si="17"/>
        <v>1.2457579542406446E-2</v>
      </c>
      <c r="AA27" s="8">
        <f t="shared" si="17"/>
        <v>1.4069423845003733E-2</v>
      </c>
      <c r="AC27" s="10">
        <f t="shared" ref="AC27" si="18">SUM(D27:AA27)</f>
        <v>1.0000000000000002</v>
      </c>
    </row>
    <row r="28" spans="1:29" x14ac:dyDescent="0.25">
      <c r="A28" s="35"/>
      <c r="B28" s="40"/>
      <c r="C28" s="43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C28" t="s">
        <v>36</v>
      </c>
    </row>
    <row r="29" spans="1:29" x14ac:dyDescent="0.25">
      <c r="A29" s="35"/>
      <c r="B29" s="41"/>
      <c r="C29" s="44"/>
      <c r="D29" s="20">
        <f>D88</f>
        <v>113255.25610193328</v>
      </c>
      <c r="E29" s="20">
        <f t="shared" ref="E29:V29" si="19">E88</f>
        <v>39471.437616334639</v>
      </c>
      <c r="F29" s="20">
        <f t="shared" si="19"/>
        <v>173237.38850776854</v>
      </c>
      <c r="G29" s="20">
        <f t="shared" si="19"/>
        <v>182655.83302399845</v>
      </c>
      <c r="H29" s="20">
        <f t="shared" si="19"/>
        <v>239197.81800272176</v>
      </c>
      <c r="I29" s="20">
        <f t="shared" si="19"/>
        <v>194599.08048242796</v>
      </c>
      <c r="J29" s="20">
        <f t="shared" si="19"/>
        <v>207806.17257662825</v>
      </c>
      <c r="K29" s="20">
        <f t="shared" si="19"/>
        <v>207806.17257662825</v>
      </c>
      <c r="L29" s="20">
        <f t="shared" si="19"/>
        <v>264348.15755535156</v>
      </c>
      <c r="M29" s="20">
        <f t="shared" si="19"/>
        <v>244930.02125713517</v>
      </c>
      <c r="N29" s="20">
        <f t="shared" si="19"/>
        <v>238326.47521003502</v>
      </c>
      <c r="O29" s="20">
        <f t="shared" si="19"/>
        <v>231722.92916293486</v>
      </c>
      <c r="P29" s="20">
        <f t="shared" si="19"/>
        <v>203451.93667357316</v>
      </c>
      <c r="Q29" s="20">
        <f t="shared" si="19"/>
        <v>175180.94418421155</v>
      </c>
      <c r="R29" s="20">
        <f t="shared" si="19"/>
        <v>182488.66339207892</v>
      </c>
      <c r="S29" s="20">
        <f t="shared" si="19"/>
        <v>182488.66339207892</v>
      </c>
      <c r="T29" s="20">
        <f t="shared" si="19"/>
        <v>184924.56979470135</v>
      </c>
      <c r="U29" s="20">
        <f t="shared" si="19"/>
        <v>189796.38259994629</v>
      </c>
      <c r="V29" s="20">
        <f t="shared" si="19"/>
        <v>183192.8365528461</v>
      </c>
      <c r="W29" s="20">
        <f>W88</f>
        <v>209835.54990203958</v>
      </c>
      <c r="X29" s="20">
        <f t="shared" ref="X29:AA29" si="20">X88</f>
        <v>168357.4653184776</v>
      </c>
      <c r="Y29" s="20">
        <f t="shared" si="20"/>
        <v>111815.48033975427</v>
      </c>
      <c r="Z29" s="20">
        <f t="shared" si="20"/>
        <v>52837.588958408487</v>
      </c>
      <c r="AA29" s="20">
        <f t="shared" si="20"/>
        <v>59674.066817986051</v>
      </c>
      <c r="AC29" t="s">
        <v>36</v>
      </c>
    </row>
    <row r="30" spans="1:29" x14ac:dyDescent="0.25">
      <c r="A30" s="35"/>
      <c r="B30" s="39" t="s">
        <v>44</v>
      </c>
      <c r="C30" s="45">
        <v>1574820.35</v>
      </c>
      <c r="D30" s="8">
        <v>0.8</v>
      </c>
      <c r="E30" s="8">
        <f>(20/23)/100</f>
        <v>8.6956521739130436E-3</v>
      </c>
      <c r="F30" s="8">
        <f t="shared" ref="F30:AA30" si="21">(20/23)/100</f>
        <v>8.6956521739130436E-3</v>
      </c>
      <c r="G30" s="8">
        <f t="shared" si="21"/>
        <v>8.6956521739130436E-3</v>
      </c>
      <c r="H30" s="8">
        <f t="shared" si="21"/>
        <v>8.6956521739130436E-3</v>
      </c>
      <c r="I30" s="8">
        <f t="shared" si="21"/>
        <v>8.6956521739130436E-3</v>
      </c>
      <c r="J30" s="8">
        <f t="shared" si="21"/>
        <v>8.6956521739130436E-3</v>
      </c>
      <c r="K30" s="8">
        <f t="shared" si="21"/>
        <v>8.6956521739130436E-3</v>
      </c>
      <c r="L30" s="8">
        <f t="shared" si="21"/>
        <v>8.6956521739130436E-3</v>
      </c>
      <c r="M30" s="8">
        <f t="shared" si="21"/>
        <v>8.6956521739130436E-3</v>
      </c>
      <c r="N30" s="8">
        <f t="shared" si="21"/>
        <v>8.6956521739130436E-3</v>
      </c>
      <c r="O30" s="8">
        <f t="shared" si="21"/>
        <v>8.6956521739130436E-3</v>
      </c>
      <c r="P30" s="8">
        <f t="shared" si="21"/>
        <v>8.6956521739130436E-3</v>
      </c>
      <c r="Q30" s="8">
        <f t="shared" si="21"/>
        <v>8.6956521739130436E-3</v>
      </c>
      <c r="R30" s="8">
        <f t="shared" si="21"/>
        <v>8.6956521739130436E-3</v>
      </c>
      <c r="S30" s="8">
        <f t="shared" si="21"/>
        <v>8.6956521739130436E-3</v>
      </c>
      <c r="T30" s="8">
        <f t="shared" si="21"/>
        <v>8.6956521739130436E-3</v>
      </c>
      <c r="U30" s="8">
        <f t="shared" si="21"/>
        <v>8.6956521739130436E-3</v>
      </c>
      <c r="V30" s="8">
        <f t="shared" si="21"/>
        <v>8.6956521739130436E-3</v>
      </c>
      <c r="W30" s="8">
        <f t="shared" si="21"/>
        <v>8.6956521739130436E-3</v>
      </c>
      <c r="X30" s="8">
        <f t="shared" si="21"/>
        <v>8.6956521739130436E-3</v>
      </c>
      <c r="Y30" s="8">
        <f t="shared" si="21"/>
        <v>8.6956521739130436E-3</v>
      </c>
      <c r="Z30" s="8">
        <f t="shared" si="21"/>
        <v>8.6956521739130436E-3</v>
      </c>
      <c r="AA30" s="8">
        <f t="shared" si="21"/>
        <v>8.6956521739130436E-3</v>
      </c>
      <c r="AC30" s="10">
        <f t="shared" ref="AC30" si="22">SUM(D30:AA30)</f>
        <v>0.99999999999999889</v>
      </c>
    </row>
    <row r="31" spans="1:29" x14ac:dyDescent="0.25">
      <c r="A31" s="35"/>
      <c r="B31" s="40"/>
      <c r="C31" s="4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C31" t="s">
        <v>36</v>
      </c>
    </row>
    <row r="32" spans="1:29" x14ac:dyDescent="0.25">
      <c r="A32" s="35"/>
      <c r="B32" s="41"/>
      <c r="C32" s="47"/>
      <c r="D32" s="20">
        <f>$C$30*D30</f>
        <v>1259856.2800000003</v>
      </c>
      <c r="E32" s="20">
        <f t="shared" ref="E32:AA32" si="23">$C$30*E30</f>
        <v>13694.09</v>
      </c>
      <c r="F32" s="20">
        <f t="shared" si="23"/>
        <v>13694.09</v>
      </c>
      <c r="G32" s="20">
        <f t="shared" si="23"/>
        <v>13694.09</v>
      </c>
      <c r="H32" s="20">
        <f t="shared" si="23"/>
        <v>13694.09</v>
      </c>
      <c r="I32" s="20">
        <f t="shared" si="23"/>
        <v>13694.09</v>
      </c>
      <c r="J32" s="20">
        <f t="shared" si="23"/>
        <v>13694.09</v>
      </c>
      <c r="K32" s="20">
        <f t="shared" si="23"/>
        <v>13694.09</v>
      </c>
      <c r="L32" s="20">
        <f t="shared" si="23"/>
        <v>13694.09</v>
      </c>
      <c r="M32" s="20">
        <f t="shared" si="23"/>
        <v>13694.09</v>
      </c>
      <c r="N32" s="20">
        <f t="shared" si="23"/>
        <v>13694.09</v>
      </c>
      <c r="O32" s="20">
        <f t="shared" si="23"/>
        <v>13694.09</v>
      </c>
      <c r="P32" s="20">
        <f t="shared" si="23"/>
        <v>13694.09</v>
      </c>
      <c r="Q32" s="20">
        <f t="shared" si="23"/>
        <v>13694.09</v>
      </c>
      <c r="R32" s="20">
        <f t="shared" si="23"/>
        <v>13694.09</v>
      </c>
      <c r="S32" s="20">
        <f t="shared" si="23"/>
        <v>13694.09</v>
      </c>
      <c r="T32" s="20">
        <f t="shared" si="23"/>
        <v>13694.09</v>
      </c>
      <c r="U32" s="20">
        <f t="shared" si="23"/>
        <v>13694.09</v>
      </c>
      <c r="V32" s="20">
        <f t="shared" si="23"/>
        <v>13694.09</v>
      </c>
      <c r="W32" s="20">
        <f t="shared" si="23"/>
        <v>13694.09</v>
      </c>
      <c r="X32" s="20">
        <f t="shared" si="23"/>
        <v>13694.09</v>
      </c>
      <c r="Y32" s="20">
        <f t="shared" si="23"/>
        <v>13694.09</v>
      </c>
      <c r="Z32" s="20">
        <f t="shared" si="23"/>
        <v>13694.09</v>
      </c>
      <c r="AA32" s="20">
        <f t="shared" si="23"/>
        <v>13694.09</v>
      </c>
      <c r="AC32" t="s">
        <v>36</v>
      </c>
    </row>
    <row r="33" spans="1:29" x14ac:dyDescent="0.25">
      <c r="A33" s="35"/>
      <c r="B33" s="39" t="s">
        <v>45</v>
      </c>
      <c r="C33" s="45">
        <v>231658.94</v>
      </c>
      <c r="D33" s="8">
        <v>0.5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8">
        <v>0.5</v>
      </c>
      <c r="AC33" s="10">
        <f t="shared" ref="AC33" si="24">SUM(D33:AA33)</f>
        <v>1</v>
      </c>
    </row>
    <row r="34" spans="1:29" x14ac:dyDescent="0.25">
      <c r="A34" s="35"/>
      <c r="B34" s="40"/>
      <c r="C34" s="46"/>
      <c r="D34" s="23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3"/>
      <c r="AC34" t="s">
        <v>36</v>
      </c>
    </row>
    <row r="35" spans="1:29" x14ac:dyDescent="0.25">
      <c r="A35" s="36"/>
      <c r="B35" s="41"/>
      <c r="C35" s="47"/>
      <c r="D35" s="20">
        <f>$C$33/2</f>
        <v>115829.47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0">
        <f>$C$33/2</f>
        <v>115829.47</v>
      </c>
      <c r="AC35" t="s">
        <v>36</v>
      </c>
    </row>
    <row r="36" spans="1:29" x14ac:dyDescent="0.25">
      <c r="B36" s="24" t="s">
        <v>46</v>
      </c>
      <c r="C36" s="25">
        <f>SUM(C9:C35)</f>
        <v>76102851.659999996</v>
      </c>
      <c r="D36" s="20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C36" s="10"/>
    </row>
    <row r="37" spans="1:29" x14ac:dyDescent="0.25">
      <c r="A37" s="34" t="s">
        <v>47</v>
      </c>
      <c r="B37" s="37" t="s">
        <v>48</v>
      </c>
      <c r="C37" s="38"/>
      <c r="D37" s="27">
        <f>D11+D14+D17+D20+D23+D26+D29+D32+D35</f>
        <v>2032122.9184352669</v>
      </c>
      <c r="E37" s="27">
        <f>E11+E14+E17+E20+E23+E26+E29+E32+E35</f>
        <v>1463860.4327830013</v>
      </c>
      <c r="F37" s="27">
        <f t="shared" ref="F37:AA37" si="25">F11+F14+F17+F20+F23+F26+F29+F32+F35</f>
        <v>3108373.7711887211</v>
      </c>
      <c r="G37" s="27">
        <f t="shared" si="25"/>
        <v>3277367.5787716177</v>
      </c>
      <c r="H37" s="27">
        <f t="shared" si="25"/>
        <v>3536262.3032170078</v>
      </c>
      <c r="I37" s="27">
        <f t="shared" si="25"/>
        <v>3491663.565696714</v>
      </c>
      <c r="J37" s="27">
        <f t="shared" si="25"/>
        <v>3728636.5367909139</v>
      </c>
      <c r="K37" s="27">
        <f t="shared" si="25"/>
        <v>3728636.5367909139</v>
      </c>
      <c r="L37" s="27">
        <f t="shared" si="25"/>
        <v>4743161.3145696381</v>
      </c>
      <c r="M37" s="27">
        <f t="shared" si="25"/>
        <v>4394744.4625571351</v>
      </c>
      <c r="N37" s="27">
        <f t="shared" si="25"/>
        <v>4276257.977010035</v>
      </c>
      <c r="O37" s="27">
        <f t="shared" si="25"/>
        <v>4157771.4914629352</v>
      </c>
      <c r="P37" s="27">
        <f t="shared" si="25"/>
        <v>3650509.1025735727</v>
      </c>
      <c r="Q37" s="27">
        <f t="shared" si="25"/>
        <v>3143246.713684212</v>
      </c>
      <c r="R37" s="27">
        <f t="shared" si="25"/>
        <v>3274368.0778920795</v>
      </c>
      <c r="S37" s="27">
        <f t="shared" si="25"/>
        <v>3274368.0778920795</v>
      </c>
      <c r="T37" s="27">
        <f t="shared" si="25"/>
        <v>3318075.1992947017</v>
      </c>
      <c r="U37" s="27">
        <f t="shared" si="25"/>
        <v>3405489.4420999466</v>
      </c>
      <c r="V37" s="27">
        <f t="shared" si="25"/>
        <v>3287002.9565528464</v>
      </c>
      <c r="W37" s="27">
        <f t="shared" si="25"/>
        <v>3765049.36490204</v>
      </c>
      <c r="X37" s="27">
        <f t="shared" si="25"/>
        <v>3020814.0049184775</v>
      </c>
      <c r="Y37" s="27">
        <f t="shared" si="25"/>
        <v>2006289.2271397545</v>
      </c>
      <c r="Z37" s="27">
        <f t="shared" si="25"/>
        <v>948057.32795840839</v>
      </c>
      <c r="AA37" s="27">
        <f t="shared" si="25"/>
        <v>1070723.2758179861</v>
      </c>
    </row>
    <row r="38" spans="1:29" x14ac:dyDescent="0.25">
      <c r="A38" s="35"/>
      <c r="B38" s="37" t="s">
        <v>49</v>
      </c>
      <c r="C38" s="38"/>
      <c r="D38" s="28">
        <f>D37/$C$36</f>
        <v>2.6702322897360756E-2</v>
      </c>
      <c r="E38" s="28">
        <f>E37/$C$36</f>
        <v>1.9235290148166852E-2</v>
      </c>
      <c r="F38" s="28">
        <f t="shared" ref="F38:AA38" si="26">F37/$C$36</f>
        <v>4.0844379722796857E-2</v>
      </c>
      <c r="G38" s="28">
        <f t="shared" si="26"/>
        <v>4.3064977294329392E-2</v>
      </c>
      <c r="H38" s="28">
        <f t="shared" si="26"/>
        <v>4.6466882989033682E-2</v>
      </c>
      <c r="I38" s="28">
        <f t="shared" si="26"/>
        <v>4.5880850579636666E-2</v>
      </c>
      <c r="J38" s="28">
        <f t="shared" si="26"/>
        <v>4.8994701978437194E-2</v>
      </c>
      <c r="K38" s="28">
        <f t="shared" si="26"/>
        <v>4.8994701978437194E-2</v>
      </c>
      <c r="L38" s="28">
        <f t="shared" si="26"/>
        <v>6.232567126078753E-2</v>
      </c>
      <c r="M38" s="28">
        <f t="shared" si="26"/>
        <v>5.7747434776705388E-2</v>
      </c>
      <c r="N38" s="28">
        <f t="shared" si="26"/>
        <v>5.619050907730512E-2</v>
      </c>
      <c r="O38" s="28">
        <f t="shared" si="26"/>
        <v>5.463358337790486E-2</v>
      </c>
      <c r="P38" s="28">
        <f t="shared" si="26"/>
        <v>4.7968098736729685E-2</v>
      </c>
      <c r="Q38" s="28">
        <f t="shared" si="26"/>
        <v>4.1302614095554538E-2</v>
      </c>
      <c r="R38" s="28">
        <f t="shared" si="26"/>
        <v>4.3025563516604755E-2</v>
      </c>
      <c r="S38" s="28">
        <f t="shared" si="26"/>
        <v>4.3025563516604755E-2</v>
      </c>
      <c r="T38" s="28">
        <f t="shared" si="26"/>
        <v>4.3599879990288158E-2</v>
      </c>
      <c r="U38" s="28">
        <f t="shared" si="26"/>
        <v>4.4748512937654965E-2</v>
      </c>
      <c r="V38" s="28">
        <f t="shared" si="26"/>
        <v>4.3191587238254697E-2</v>
      </c>
      <c r="W38" s="28">
        <f t="shared" si="26"/>
        <v>4.9473170620766199E-2</v>
      </c>
      <c r="X38" s="28">
        <f t="shared" si="26"/>
        <v>3.9693834580790496E-2</v>
      </c>
      <c r="Y38" s="28">
        <f t="shared" si="26"/>
        <v>2.6362865298440178E-2</v>
      </c>
      <c r="Z38" s="28">
        <f t="shared" si="26"/>
        <v>1.2457579542406446E-2</v>
      </c>
      <c r="AA38" s="28">
        <f t="shared" si="26"/>
        <v>1.4069423845003736E-2</v>
      </c>
    </row>
    <row r="39" spans="1:29" x14ac:dyDescent="0.25">
      <c r="A39" s="35"/>
      <c r="B39" s="37" t="s">
        <v>50</v>
      </c>
      <c r="C39" s="38"/>
      <c r="D39" s="29">
        <f>D37</f>
        <v>2032122.9184352669</v>
      </c>
      <c r="E39" s="29">
        <f>D39+E37</f>
        <v>3495983.3512182683</v>
      </c>
      <c r="F39" s="29">
        <f t="shared" ref="F39:AA40" si="27">E39+F37</f>
        <v>6604357.1224069893</v>
      </c>
      <c r="G39" s="29">
        <f t="shared" si="27"/>
        <v>9881724.7011786066</v>
      </c>
      <c r="H39" s="29">
        <f t="shared" si="27"/>
        <v>13417987.004395615</v>
      </c>
      <c r="I39" s="29">
        <f t="shared" si="27"/>
        <v>16909650.570092328</v>
      </c>
      <c r="J39" s="29">
        <f t="shared" si="27"/>
        <v>20638287.106883243</v>
      </c>
      <c r="K39" s="29">
        <f t="shared" si="27"/>
        <v>24366923.643674158</v>
      </c>
      <c r="L39" s="29">
        <f t="shared" si="27"/>
        <v>29110084.958243795</v>
      </c>
      <c r="M39" s="29">
        <f t="shared" si="27"/>
        <v>33504829.420800932</v>
      </c>
      <c r="N39" s="29">
        <f t="shared" si="27"/>
        <v>37781087.397810966</v>
      </c>
      <c r="O39" s="29">
        <f t="shared" si="27"/>
        <v>41938858.889273904</v>
      </c>
      <c r="P39" s="29">
        <f t="shared" si="27"/>
        <v>45589367.991847478</v>
      </c>
      <c r="Q39" s="29">
        <f t="shared" si="27"/>
        <v>48732614.705531687</v>
      </c>
      <c r="R39" s="29">
        <f t="shared" si="27"/>
        <v>52006982.783423766</v>
      </c>
      <c r="S39" s="29">
        <f t="shared" si="27"/>
        <v>55281350.861315846</v>
      </c>
      <c r="T39" s="29">
        <f t="shared" si="27"/>
        <v>58599426.060610548</v>
      </c>
      <c r="U39" s="29">
        <f t="shared" si="27"/>
        <v>62004915.502710491</v>
      </c>
      <c r="V39" s="29">
        <f t="shared" si="27"/>
        <v>65291918.45926334</v>
      </c>
      <c r="W39" s="29">
        <f t="shared" si="27"/>
        <v>69056967.824165374</v>
      </c>
      <c r="X39" s="29">
        <f t="shared" si="27"/>
        <v>72077781.829083845</v>
      </c>
      <c r="Y39" s="29">
        <f t="shared" si="27"/>
        <v>74084071.056223601</v>
      </c>
      <c r="Z39" s="29">
        <f t="shared" si="27"/>
        <v>75032128.384182006</v>
      </c>
      <c r="AA39" s="29">
        <f t="shared" si="27"/>
        <v>76102851.659999996</v>
      </c>
    </row>
    <row r="40" spans="1:29" x14ac:dyDescent="0.25">
      <c r="A40" s="36"/>
      <c r="B40" s="37" t="s">
        <v>51</v>
      </c>
      <c r="C40" s="38"/>
      <c r="D40" s="28">
        <f>D38</f>
        <v>2.6702322897360756E-2</v>
      </c>
      <c r="E40" s="28">
        <f>D40+E38</f>
        <v>4.5937613045527612E-2</v>
      </c>
      <c r="F40" s="28">
        <f t="shared" si="27"/>
        <v>8.6781992768324462E-2</v>
      </c>
      <c r="G40" s="28">
        <f t="shared" si="27"/>
        <v>0.12984697006265386</v>
      </c>
      <c r="H40" s="28">
        <f t="shared" si="27"/>
        <v>0.17631385305168754</v>
      </c>
      <c r="I40" s="28">
        <f t="shared" si="27"/>
        <v>0.22219470363132421</v>
      </c>
      <c r="J40" s="28">
        <f t="shared" si="27"/>
        <v>0.2711894056097614</v>
      </c>
      <c r="K40" s="28">
        <f t="shared" si="27"/>
        <v>0.3201841075881986</v>
      </c>
      <c r="L40" s="28">
        <f t="shared" si="27"/>
        <v>0.38250977884898613</v>
      </c>
      <c r="M40" s="28">
        <f t="shared" si="27"/>
        <v>0.44025721362569153</v>
      </c>
      <c r="N40" s="28">
        <f t="shared" si="27"/>
        <v>0.49644772270299664</v>
      </c>
      <c r="O40" s="28">
        <f t="shared" si="27"/>
        <v>0.55108130608090145</v>
      </c>
      <c r="P40" s="28">
        <f t="shared" si="27"/>
        <v>0.59904940481763114</v>
      </c>
      <c r="Q40" s="28">
        <f t="shared" si="27"/>
        <v>0.64035201891318572</v>
      </c>
      <c r="R40" s="28">
        <f t="shared" si="27"/>
        <v>0.68337758242979052</v>
      </c>
      <c r="S40" s="28">
        <f t="shared" si="27"/>
        <v>0.72640314594639532</v>
      </c>
      <c r="T40" s="28">
        <f t="shared" si="27"/>
        <v>0.77000302593668346</v>
      </c>
      <c r="U40" s="28">
        <f t="shared" si="27"/>
        <v>0.81475153887433838</v>
      </c>
      <c r="V40" s="28">
        <f t="shared" si="27"/>
        <v>0.85794312611259305</v>
      </c>
      <c r="W40" s="28">
        <f t="shared" si="27"/>
        <v>0.90741629673335922</v>
      </c>
      <c r="X40" s="28">
        <f t="shared" si="27"/>
        <v>0.94711013131414967</v>
      </c>
      <c r="Y40" s="28">
        <f t="shared" si="27"/>
        <v>0.9734729966125899</v>
      </c>
      <c r="Z40" s="28">
        <f t="shared" si="27"/>
        <v>0.98593057615499635</v>
      </c>
      <c r="AA40" s="28">
        <f t="shared" si="27"/>
        <v>1</v>
      </c>
    </row>
    <row r="41" spans="1:29" x14ac:dyDescent="0.25">
      <c r="A41" s="30"/>
      <c r="B41" s="30"/>
      <c r="C41" s="30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spans="1:29" x14ac:dyDescent="0.25">
      <c r="A42" s="2"/>
      <c r="C42" s="4"/>
    </row>
    <row r="43" spans="1:29" x14ac:dyDescent="0.25">
      <c r="A43" s="2"/>
    </row>
    <row r="44" spans="1:29" x14ac:dyDescent="0.25">
      <c r="A44" s="2"/>
    </row>
    <row r="45" spans="1:29" x14ac:dyDescent="0.25">
      <c r="A45" s="2"/>
    </row>
    <row r="46" spans="1:29" x14ac:dyDescent="0.25">
      <c r="A46" s="56" t="s">
        <v>5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</row>
    <row r="47" spans="1:29" x14ac:dyDescent="0.25">
      <c r="A47" s="34" t="s">
        <v>6</v>
      </c>
      <c r="B47" s="51" t="s">
        <v>7</v>
      </c>
      <c r="C47" s="51" t="s">
        <v>8</v>
      </c>
      <c r="D47" s="53" t="s">
        <v>9</v>
      </c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5"/>
    </row>
    <row r="48" spans="1:29" x14ac:dyDescent="0.25">
      <c r="A48" s="35"/>
      <c r="B48" s="52" t="s">
        <v>10</v>
      </c>
      <c r="C48" s="52"/>
      <c r="D48" s="7" t="s">
        <v>23</v>
      </c>
      <c r="E48" s="7" t="s">
        <v>24</v>
      </c>
      <c r="F48" s="7" t="s">
        <v>25</v>
      </c>
      <c r="G48" s="7" t="s">
        <v>26</v>
      </c>
      <c r="H48" s="7" t="s">
        <v>27</v>
      </c>
      <c r="I48" s="7" t="s">
        <v>28</v>
      </c>
      <c r="J48" s="7" t="s">
        <v>29</v>
      </c>
      <c r="K48" s="7" t="s">
        <v>30</v>
      </c>
      <c r="L48" s="7" t="s">
        <v>31</v>
      </c>
      <c r="M48" s="7" t="s">
        <v>32</v>
      </c>
      <c r="N48" s="7" t="s">
        <v>33</v>
      </c>
      <c r="O48" s="7" t="s">
        <v>34</v>
      </c>
    </row>
    <row r="49" spans="1:15" x14ac:dyDescent="0.25">
      <c r="A49" s="35"/>
      <c r="B49" s="48" t="s">
        <v>35</v>
      </c>
      <c r="C49" s="42">
        <v>11188293.949999999</v>
      </c>
      <c r="D49" s="8">
        <v>0.05</v>
      </c>
      <c r="E49" s="8">
        <v>0.05</v>
      </c>
      <c r="F49" s="8">
        <v>0.05</v>
      </c>
      <c r="G49" s="8">
        <v>0.05</v>
      </c>
      <c r="H49" s="8">
        <v>0.05</v>
      </c>
      <c r="I49" s="8">
        <v>0.05</v>
      </c>
      <c r="J49" s="8">
        <v>0.04</v>
      </c>
      <c r="K49" s="8">
        <v>0.02</v>
      </c>
      <c r="L49" s="9"/>
      <c r="M49" s="9"/>
      <c r="N49" s="9"/>
      <c r="O49" s="9"/>
    </row>
    <row r="50" spans="1:15" x14ac:dyDescent="0.25">
      <c r="A50" s="35"/>
      <c r="B50" s="49"/>
      <c r="C50" s="43"/>
      <c r="D50" s="11"/>
      <c r="E50" s="11"/>
      <c r="F50" s="11"/>
      <c r="G50" s="11"/>
      <c r="H50" s="11"/>
      <c r="I50" s="11"/>
      <c r="J50" s="11"/>
      <c r="K50" s="11"/>
      <c r="L50" s="12"/>
      <c r="M50" s="12"/>
      <c r="N50" s="12"/>
      <c r="O50" s="12"/>
    </row>
    <row r="51" spans="1:15" x14ac:dyDescent="0.25">
      <c r="A51" s="35"/>
      <c r="B51" s="50"/>
      <c r="C51" s="44"/>
      <c r="D51" s="13">
        <v>559414.69750000001</v>
      </c>
      <c r="E51" s="13">
        <v>559414.69750000001</v>
      </c>
      <c r="F51" s="13">
        <v>559414.69750000001</v>
      </c>
      <c r="G51" s="13">
        <v>559414.69750000001</v>
      </c>
      <c r="H51" s="13">
        <v>559414.69750000001</v>
      </c>
      <c r="I51" s="13">
        <v>559414.69750000001</v>
      </c>
      <c r="J51" s="13">
        <v>447531.75799999997</v>
      </c>
      <c r="K51" s="13">
        <v>223765.87899999999</v>
      </c>
      <c r="L51" s="14"/>
      <c r="M51" s="14"/>
      <c r="N51" s="14"/>
      <c r="O51" s="14"/>
    </row>
    <row r="52" spans="1:15" x14ac:dyDescent="0.25">
      <c r="A52" s="35"/>
      <c r="B52" s="48" t="s">
        <v>37</v>
      </c>
      <c r="C52" s="42">
        <v>47899139.640000001</v>
      </c>
      <c r="D52" s="8">
        <v>0.06</v>
      </c>
      <c r="E52" s="8">
        <v>0.05</v>
      </c>
      <c r="F52" s="8">
        <v>0.05</v>
      </c>
      <c r="G52" s="8">
        <v>0.05</v>
      </c>
      <c r="H52" s="8">
        <v>0.05</v>
      </c>
      <c r="I52" s="8">
        <v>0.05</v>
      </c>
      <c r="J52" s="8">
        <v>0.05</v>
      </c>
      <c r="K52" s="8">
        <v>0.05</v>
      </c>
      <c r="L52" s="8">
        <v>0.04</v>
      </c>
      <c r="M52" s="8">
        <v>0.02</v>
      </c>
      <c r="N52" s="16"/>
      <c r="O52" s="16"/>
    </row>
    <row r="53" spans="1:15" x14ac:dyDescent="0.25">
      <c r="A53" s="35"/>
      <c r="B53" s="49"/>
      <c r="C53" s="43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7"/>
      <c r="O53" s="17"/>
    </row>
    <row r="54" spans="1:15" x14ac:dyDescent="0.25">
      <c r="A54" s="35"/>
      <c r="B54" s="50"/>
      <c r="C54" s="44"/>
      <c r="D54" s="13">
        <v>2873948.3783999998</v>
      </c>
      <c r="E54" s="13">
        <v>2394956.9820000003</v>
      </c>
      <c r="F54" s="13">
        <v>2394956.9820000003</v>
      </c>
      <c r="G54" s="13">
        <v>2394956.9820000003</v>
      </c>
      <c r="H54" s="13">
        <v>2394956.9820000003</v>
      </c>
      <c r="I54" s="13">
        <v>2394956.9820000003</v>
      </c>
      <c r="J54" s="13">
        <v>2394956.9820000003</v>
      </c>
      <c r="K54" s="13">
        <v>2394956.9820000003</v>
      </c>
      <c r="L54" s="13">
        <v>1915965.5856000001</v>
      </c>
      <c r="M54" s="13">
        <v>957982.79280000005</v>
      </c>
      <c r="N54" s="18"/>
      <c r="O54" s="18"/>
    </row>
    <row r="55" spans="1:15" x14ac:dyDescent="0.25">
      <c r="A55" s="35"/>
      <c r="B55" s="48" t="s">
        <v>38</v>
      </c>
      <c r="C55" s="42">
        <v>2063560.75</v>
      </c>
      <c r="D55" s="15"/>
      <c r="E55" s="15"/>
      <c r="F55" s="8">
        <v>0.06</v>
      </c>
      <c r="G55" s="8">
        <v>0.06</v>
      </c>
      <c r="H55" s="8">
        <v>0.08</v>
      </c>
      <c r="I55" s="8">
        <v>0.12</v>
      </c>
      <c r="J55" s="8">
        <v>0.12</v>
      </c>
      <c r="K55" s="8">
        <v>0.12</v>
      </c>
      <c r="L55" s="8">
        <v>0.12</v>
      </c>
      <c r="M55" s="8">
        <v>0.12</v>
      </c>
      <c r="N55" s="8">
        <v>0.1</v>
      </c>
      <c r="O55" s="8">
        <v>0.1</v>
      </c>
    </row>
    <row r="56" spans="1:15" x14ac:dyDescent="0.25">
      <c r="A56" s="35"/>
      <c r="B56" s="49"/>
      <c r="C56" s="43"/>
      <c r="D56" s="17"/>
      <c r="E56" s="17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spans="1:15" x14ac:dyDescent="0.25">
      <c r="A57" s="35"/>
      <c r="B57" s="50"/>
      <c r="C57" s="44"/>
      <c r="D57" s="13"/>
      <c r="E57" s="13"/>
      <c r="F57" s="13">
        <v>123813.64499999999</v>
      </c>
      <c r="G57" s="13">
        <v>123813.64499999999</v>
      </c>
      <c r="H57" s="13">
        <v>165084.86000000002</v>
      </c>
      <c r="I57" s="13">
        <v>247627.28999999998</v>
      </c>
      <c r="J57" s="13">
        <v>247627.28999999998</v>
      </c>
      <c r="K57" s="13">
        <v>247627.28999999998</v>
      </c>
      <c r="L57" s="13">
        <v>247627.28999999998</v>
      </c>
      <c r="M57" s="13">
        <v>247627.28999999998</v>
      </c>
      <c r="N57" s="13">
        <v>206356.07500000001</v>
      </c>
      <c r="O57" s="13">
        <v>206356.07500000001</v>
      </c>
    </row>
    <row r="58" spans="1:15" x14ac:dyDescent="0.25">
      <c r="A58" s="35"/>
      <c r="B58" s="48" t="s">
        <v>39</v>
      </c>
      <c r="C58" s="42">
        <v>4334095.97</v>
      </c>
      <c r="D58" s="15"/>
      <c r="E58" s="15"/>
      <c r="F58" s="15"/>
      <c r="G58" s="15"/>
      <c r="H58" s="15"/>
      <c r="I58" s="15"/>
      <c r="J58" s="15"/>
      <c r="K58" s="15">
        <v>0.15578094686260488</v>
      </c>
      <c r="L58" s="15">
        <v>0.15578094686260488</v>
      </c>
      <c r="M58" s="15">
        <v>0.15578094686260488</v>
      </c>
      <c r="N58" s="15">
        <v>0.15578094686260488</v>
      </c>
      <c r="O58" s="15">
        <v>0.15578094686260488</v>
      </c>
    </row>
    <row r="59" spans="1:15" x14ac:dyDescent="0.25">
      <c r="A59" s="35"/>
      <c r="B59" s="49"/>
      <c r="C59" s="43"/>
      <c r="D59" s="17"/>
      <c r="E59" s="17"/>
      <c r="F59" s="17"/>
      <c r="G59" s="17"/>
      <c r="H59" s="17"/>
      <c r="I59" s="17"/>
      <c r="J59" s="17"/>
      <c r="K59" s="19"/>
      <c r="L59" s="19"/>
      <c r="M59" s="19"/>
      <c r="N59" s="19"/>
      <c r="O59" s="19"/>
    </row>
    <row r="60" spans="1:15" x14ac:dyDescent="0.25">
      <c r="A60" s="35"/>
      <c r="B60" s="50"/>
      <c r="C60" s="44"/>
      <c r="D60" s="13"/>
      <c r="E60" s="13"/>
      <c r="F60" s="13"/>
      <c r="G60" s="13"/>
      <c r="H60" s="13"/>
      <c r="I60" s="13"/>
      <c r="J60" s="13"/>
      <c r="K60" s="13">
        <v>675169.57399999991</v>
      </c>
      <c r="L60" s="13">
        <v>675169.57399999991</v>
      </c>
      <c r="M60" s="13">
        <v>675169.57399999991</v>
      </c>
      <c r="N60" s="13">
        <v>675169.57399999991</v>
      </c>
      <c r="O60" s="13">
        <v>675169.57399999991</v>
      </c>
    </row>
    <row r="61" spans="1:15" x14ac:dyDescent="0.25">
      <c r="A61" s="35"/>
      <c r="B61" s="48" t="s">
        <v>40</v>
      </c>
      <c r="C61" s="42">
        <v>2302991.0099999998</v>
      </c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 x14ac:dyDescent="0.25">
      <c r="A62" s="35"/>
      <c r="B62" s="49"/>
      <c r="C62" s="43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</row>
    <row r="63" spans="1:15" x14ac:dyDescent="0.25">
      <c r="A63" s="35"/>
      <c r="B63" s="50"/>
      <c r="C63" s="44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</row>
    <row r="64" spans="1:15" x14ac:dyDescent="0.25">
      <c r="A64" s="35"/>
      <c r="B64" s="39" t="s">
        <v>41</v>
      </c>
      <c r="C64" s="42">
        <v>2266890.16</v>
      </c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 x14ac:dyDescent="0.25">
      <c r="A65" s="35"/>
      <c r="B65" s="40"/>
      <c r="C65" s="43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5" x14ac:dyDescent="0.25">
      <c r="A66" s="35"/>
      <c r="B66" s="41"/>
      <c r="C66" s="44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1:15" x14ac:dyDescent="0.25">
      <c r="A67" s="34" t="s">
        <v>42</v>
      </c>
      <c r="B67" s="39" t="s">
        <v>43</v>
      </c>
      <c r="C67" s="42">
        <v>4241400.8899999997</v>
      </c>
      <c r="D67" s="8">
        <v>4.7968098736729692E-2</v>
      </c>
      <c r="E67" s="8">
        <v>4.1302614095554538E-2</v>
      </c>
      <c r="F67" s="8">
        <v>4.3025563516604755E-2</v>
      </c>
      <c r="G67" s="8">
        <v>4.3025563516604755E-2</v>
      </c>
      <c r="H67" s="8">
        <v>4.3599879990288151E-2</v>
      </c>
      <c r="I67" s="8">
        <v>4.4748512937654972E-2</v>
      </c>
      <c r="J67" s="8">
        <v>4.3191587238254697E-2</v>
      </c>
      <c r="K67" s="8">
        <v>4.9473170620766199E-2</v>
      </c>
      <c r="L67" s="8">
        <v>3.9693834580790503E-2</v>
      </c>
      <c r="M67" s="8">
        <v>2.6362865298440178E-2</v>
      </c>
      <c r="N67" s="8">
        <v>1.2457579542406446E-2</v>
      </c>
      <c r="O67" s="8">
        <v>1.4069423845003733E-2</v>
      </c>
    </row>
    <row r="68" spans="1:15" x14ac:dyDescent="0.25">
      <c r="A68" s="35"/>
      <c r="B68" s="40"/>
      <c r="C68" s="43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1:15" x14ac:dyDescent="0.25">
      <c r="A69" s="35"/>
      <c r="B69" s="41"/>
      <c r="C69" s="44"/>
      <c r="D69" s="20">
        <v>203451.93667357316</v>
      </c>
      <c r="E69" s="20">
        <v>175180.94418421155</v>
      </c>
      <c r="F69" s="20">
        <v>182488.66339207892</v>
      </c>
      <c r="G69" s="20">
        <v>182488.66339207892</v>
      </c>
      <c r="H69" s="20">
        <v>184924.56979470135</v>
      </c>
      <c r="I69" s="20">
        <v>189796.38259994629</v>
      </c>
      <c r="J69" s="20">
        <v>183192.8365528461</v>
      </c>
      <c r="K69" s="20">
        <v>209835.54990203958</v>
      </c>
      <c r="L69" s="20">
        <v>168357.4653184776</v>
      </c>
      <c r="M69" s="20">
        <v>111815.48033975427</v>
      </c>
      <c r="N69" s="20">
        <v>52837.588958408487</v>
      </c>
      <c r="O69" s="20">
        <v>59674.066817986051</v>
      </c>
    </row>
    <row r="70" spans="1:15" x14ac:dyDescent="0.25">
      <c r="A70" s="35"/>
      <c r="B70" s="39" t="s">
        <v>44</v>
      </c>
      <c r="C70" s="45">
        <v>1574820.35</v>
      </c>
      <c r="D70" s="8">
        <v>8.6956521739130436E-3</v>
      </c>
      <c r="E70" s="8">
        <v>8.6956521739130436E-3</v>
      </c>
      <c r="F70" s="8">
        <v>8.6956521739130436E-3</v>
      </c>
      <c r="G70" s="8">
        <v>8.6956521739130436E-3</v>
      </c>
      <c r="H70" s="8">
        <v>8.6956521739130436E-3</v>
      </c>
      <c r="I70" s="8">
        <v>8.6956521739130436E-3</v>
      </c>
      <c r="J70" s="8">
        <v>8.6956521739130436E-3</v>
      </c>
      <c r="K70" s="8">
        <v>8.6956521739130436E-3</v>
      </c>
      <c r="L70" s="8">
        <v>8.6956521739130436E-3</v>
      </c>
      <c r="M70" s="8">
        <v>8.6956521739130436E-3</v>
      </c>
      <c r="N70" s="8">
        <v>8.6956521739130436E-3</v>
      </c>
      <c r="O70" s="8">
        <v>8.6956521739130436E-3</v>
      </c>
    </row>
    <row r="71" spans="1:15" x14ac:dyDescent="0.25">
      <c r="A71" s="35"/>
      <c r="B71" s="40"/>
      <c r="C71" s="46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1:15" x14ac:dyDescent="0.25">
      <c r="A72" s="35"/>
      <c r="B72" s="41"/>
      <c r="C72" s="47"/>
      <c r="D72" s="20">
        <v>13694.09</v>
      </c>
      <c r="E72" s="20">
        <v>13694.09</v>
      </c>
      <c r="F72" s="20">
        <v>13694.09</v>
      </c>
      <c r="G72" s="20">
        <v>13694.09</v>
      </c>
      <c r="H72" s="20">
        <v>13694.09</v>
      </c>
      <c r="I72" s="20">
        <v>13694.09</v>
      </c>
      <c r="J72" s="20">
        <v>13694.09</v>
      </c>
      <c r="K72" s="20">
        <v>13694.09</v>
      </c>
      <c r="L72" s="20">
        <v>13694.09</v>
      </c>
      <c r="M72" s="20">
        <v>13694.09</v>
      </c>
      <c r="N72" s="20">
        <v>13694.09</v>
      </c>
      <c r="O72" s="20">
        <v>13694.09</v>
      </c>
    </row>
    <row r="73" spans="1:15" x14ac:dyDescent="0.25">
      <c r="A73" s="35"/>
      <c r="B73" s="39" t="s">
        <v>45</v>
      </c>
      <c r="C73" s="45">
        <v>231658.94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8">
        <v>0.5</v>
      </c>
    </row>
    <row r="74" spans="1:15" x14ac:dyDescent="0.25">
      <c r="A74" s="35"/>
      <c r="B74" s="40"/>
      <c r="C74" s="46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3"/>
    </row>
    <row r="75" spans="1:15" x14ac:dyDescent="0.25">
      <c r="A75" s="36"/>
      <c r="B75" s="41"/>
      <c r="C75" s="47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0">
        <v>115829.47</v>
      </c>
    </row>
    <row r="76" spans="1:15" x14ac:dyDescent="0.25">
      <c r="B76" s="24" t="s">
        <v>46</v>
      </c>
      <c r="C76" s="25">
        <f>SUM(C49:C75)</f>
        <v>76102851.659999996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x14ac:dyDescent="0.25">
      <c r="A77" s="34" t="s">
        <v>47</v>
      </c>
      <c r="B77" s="37" t="s">
        <v>48</v>
      </c>
      <c r="C77" s="38"/>
      <c r="D77" s="27">
        <v>3650509.1025735727</v>
      </c>
      <c r="E77" s="27">
        <v>3143246.713684212</v>
      </c>
      <c r="F77" s="27">
        <v>3274368.0778920795</v>
      </c>
      <c r="G77" s="27">
        <v>3274368.0778920795</v>
      </c>
      <c r="H77" s="27">
        <v>3318075.1992947017</v>
      </c>
      <c r="I77" s="27">
        <v>3405489.4420999466</v>
      </c>
      <c r="J77" s="27">
        <v>3287002.9565528464</v>
      </c>
      <c r="K77" s="27">
        <v>3765049.36490204</v>
      </c>
      <c r="L77" s="27">
        <v>3020814.0049184775</v>
      </c>
      <c r="M77" s="27">
        <v>2006289.2271397545</v>
      </c>
      <c r="N77" s="27">
        <v>948057.32795840839</v>
      </c>
      <c r="O77" s="27">
        <v>1070723.2758179861</v>
      </c>
    </row>
    <row r="78" spans="1:15" x14ac:dyDescent="0.25">
      <c r="A78" s="35"/>
      <c r="B78" s="37" t="s">
        <v>49</v>
      </c>
      <c r="C78" s="38"/>
      <c r="D78" s="28">
        <v>4.7968098736729685E-2</v>
      </c>
      <c r="E78" s="28">
        <v>4.1302614095554538E-2</v>
      </c>
      <c r="F78" s="28">
        <v>4.3025563516604755E-2</v>
      </c>
      <c r="G78" s="28">
        <v>4.3025563516604755E-2</v>
      </c>
      <c r="H78" s="28">
        <v>4.3599879990288158E-2</v>
      </c>
      <c r="I78" s="28">
        <v>4.4748512937654965E-2</v>
      </c>
      <c r="J78" s="28">
        <v>4.3191587238254697E-2</v>
      </c>
      <c r="K78" s="28">
        <v>4.9473170620766199E-2</v>
      </c>
      <c r="L78" s="28">
        <v>3.9693834580790496E-2</v>
      </c>
      <c r="M78" s="28">
        <v>2.6362865298440178E-2</v>
      </c>
      <c r="N78" s="28">
        <v>1.2457579542406446E-2</v>
      </c>
      <c r="O78" s="28">
        <v>1.4069423845003736E-2</v>
      </c>
    </row>
    <row r="79" spans="1:15" x14ac:dyDescent="0.25">
      <c r="A79" s="35"/>
      <c r="B79" s="37" t="s">
        <v>50</v>
      </c>
      <c r="C79" s="38"/>
      <c r="D79" s="29">
        <v>45589367.991847478</v>
      </c>
      <c r="E79" s="29">
        <v>48732614.705531687</v>
      </c>
      <c r="F79" s="29">
        <v>52006982.783423766</v>
      </c>
      <c r="G79" s="29">
        <v>55281350.861315846</v>
      </c>
      <c r="H79" s="29">
        <v>58599426.060610548</v>
      </c>
      <c r="I79" s="29">
        <v>62004915.502710491</v>
      </c>
      <c r="J79" s="29">
        <v>65291918.45926334</v>
      </c>
      <c r="K79" s="29">
        <v>69056967.824165374</v>
      </c>
      <c r="L79" s="29">
        <v>72077781.829083845</v>
      </c>
      <c r="M79" s="29">
        <v>74084071.056223601</v>
      </c>
      <c r="N79" s="29">
        <v>75032128.384182006</v>
      </c>
      <c r="O79" s="29">
        <v>76102851.659999996</v>
      </c>
    </row>
    <row r="80" spans="1:15" x14ac:dyDescent="0.25">
      <c r="A80" s="36"/>
      <c r="B80" s="37" t="s">
        <v>51</v>
      </c>
      <c r="C80" s="38"/>
      <c r="D80" s="28">
        <v>0.59904940481763114</v>
      </c>
      <c r="E80" s="28">
        <v>0.64035201891318572</v>
      </c>
      <c r="F80" s="28">
        <v>0.68337758242979052</v>
      </c>
      <c r="G80" s="28">
        <v>0.72640314594639532</v>
      </c>
      <c r="H80" s="28">
        <v>0.77000302593668346</v>
      </c>
      <c r="I80" s="28">
        <v>0.81475153887433838</v>
      </c>
      <c r="J80" s="28">
        <v>0.85794312611259305</v>
      </c>
      <c r="K80" s="28">
        <v>0.90741629673335922</v>
      </c>
      <c r="L80" s="28">
        <v>0.94711013131414967</v>
      </c>
      <c r="M80" s="28">
        <v>0.9734729966125899</v>
      </c>
      <c r="N80" s="28">
        <v>0.98593057615499635</v>
      </c>
      <c r="O80" s="28">
        <v>1</v>
      </c>
    </row>
    <row r="81" spans="1:27" x14ac:dyDescent="0.25">
      <c r="A81" s="2"/>
    </row>
    <row r="82" spans="1:27" x14ac:dyDescent="0.25">
      <c r="A82" s="2" t="s">
        <v>52</v>
      </c>
    </row>
    <row r="83" spans="1:27" x14ac:dyDescent="0.25">
      <c r="A83" s="2" t="s">
        <v>53</v>
      </c>
    </row>
    <row r="84" spans="1:27" x14ac:dyDescent="0.25">
      <c r="A84" s="2"/>
    </row>
    <row r="85" spans="1:27" x14ac:dyDescent="0.25">
      <c r="A85" s="2"/>
    </row>
    <row r="86" spans="1:27" x14ac:dyDescent="0.25">
      <c r="B86" s="2"/>
    </row>
    <row r="87" spans="1:27" x14ac:dyDescent="0.25">
      <c r="B87" s="2"/>
      <c r="C87" s="4">
        <f>SUM(C9:C26)</f>
        <v>70054971.480000004</v>
      </c>
      <c r="D87" s="32">
        <f>(D11+D14+D17+D20+D23+D26+D32+D35)/$D$93</f>
        <v>2032122.9184352669</v>
      </c>
      <c r="E87" s="32">
        <f>(E11+E14+E17+E20+E23+D26+E32+E35)/$D$93</f>
        <v>708230.37944966787</v>
      </c>
      <c r="F87" s="32">
        <f>(F11+F14+F17+F20+F23+E26+F32+F35)/$D$93</f>
        <v>3108373.7711887211</v>
      </c>
      <c r="G87" s="32">
        <f>(G11+G14+G17+G20+G23+F26+G32+G35)/$D$93</f>
        <v>3277367.5787716177</v>
      </c>
      <c r="H87" s="32">
        <f>(H11+H14+H17+H20+H23+G26+H32+H35)/$D$93</f>
        <v>4291892.3565503405</v>
      </c>
      <c r="I87" s="32">
        <f t="shared" ref="I87:AA87" si="28">(I11+I14+I17+I20+I23+I26+I32+I35)/$D$93</f>
        <v>3491663.565696714</v>
      </c>
      <c r="J87" s="32">
        <f t="shared" si="28"/>
        <v>3728636.5367909139</v>
      </c>
      <c r="K87" s="32">
        <f t="shared" si="28"/>
        <v>3728636.5367909139</v>
      </c>
      <c r="L87" s="32">
        <f t="shared" si="28"/>
        <v>4743161.3145696372</v>
      </c>
      <c r="M87" s="32">
        <f t="shared" si="28"/>
        <v>4394744.4625571351</v>
      </c>
      <c r="N87" s="32">
        <f t="shared" si="28"/>
        <v>4276257.977010035</v>
      </c>
      <c r="O87" s="32">
        <f t="shared" si="28"/>
        <v>4157771.4914629352</v>
      </c>
      <c r="P87" s="32">
        <f t="shared" si="28"/>
        <v>3650509.1025735727</v>
      </c>
      <c r="Q87" s="32">
        <f t="shared" si="28"/>
        <v>3143246.713684212</v>
      </c>
      <c r="R87" s="32">
        <f t="shared" si="28"/>
        <v>3274368.0778920795</v>
      </c>
      <c r="S87" s="32">
        <f t="shared" si="28"/>
        <v>3274368.0778920795</v>
      </c>
      <c r="T87" s="32">
        <f t="shared" si="28"/>
        <v>3318075.1992947017</v>
      </c>
      <c r="U87" s="32">
        <f t="shared" si="28"/>
        <v>3405489.4420999466</v>
      </c>
      <c r="V87" s="32">
        <f t="shared" si="28"/>
        <v>3287002.9565528464</v>
      </c>
      <c r="W87" s="32">
        <f t="shared" si="28"/>
        <v>3765049.36490204</v>
      </c>
      <c r="X87" s="32">
        <f t="shared" si="28"/>
        <v>3020814.0049184775</v>
      </c>
      <c r="Y87" s="32">
        <f t="shared" si="28"/>
        <v>2006289.2271397542</v>
      </c>
      <c r="Z87" s="32">
        <f t="shared" si="28"/>
        <v>948057.32795840839</v>
      </c>
      <c r="AA87" s="32">
        <f t="shared" si="28"/>
        <v>1070723.2758179859</v>
      </c>
    </row>
    <row r="88" spans="1:27" x14ac:dyDescent="0.25">
      <c r="B88" s="2"/>
      <c r="C88" s="33">
        <f>C27/C36</f>
        <v>5.5732483047403324E-2</v>
      </c>
      <c r="D88" s="32">
        <f>D87*$C$88</f>
        <v>113255.25610193328</v>
      </c>
      <c r="E88" s="32">
        <f t="shared" ref="E88:AA88" si="29">E87*$C$88</f>
        <v>39471.437616334639</v>
      </c>
      <c r="F88" s="32">
        <f t="shared" si="29"/>
        <v>173237.38850776854</v>
      </c>
      <c r="G88" s="32">
        <f t="shared" si="29"/>
        <v>182655.83302399845</v>
      </c>
      <c r="H88" s="32">
        <f t="shared" si="29"/>
        <v>239197.81800272176</v>
      </c>
      <c r="I88" s="32">
        <f t="shared" si="29"/>
        <v>194599.08048242796</v>
      </c>
      <c r="J88" s="32">
        <f t="shared" si="29"/>
        <v>207806.17257662825</v>
      </c>
      <c r="K88" s="32">
        <f t="shared" si="29"/>
        <v>207806.17257662825</v>
      </c>
      <c r="L88" s="32">
        <f t="shared" si="29"/>
        <v>264348.15755535156</v>
      </c>
      <c r="M88" s="32">
        <f t="shared" si="29"/>
        <v>244930.02125713517</v>
      </c>
      <c r="N88" s="32">
        <f t="shared" si="29"/>
        <v>238326.47521003502</v>
      </c>
      <c r="O88" s="32">
        <f t="shared" si="29"/>
        <v>231722.92916293486</v>
      </c>
      <c r="P88" s="32">
        <f t="shared" si="29"/>
        <v>203451.93667357316</v>
      </c>
      <c r="Q88" s="32">
        <f t="shared" si="29"/>
        <v>175180.94418421155</v>
      </c>
      <c r="R88" s="32">
        <f t="shared" si="29"/>
        <v>182488.66339207892</v>
      </c>
      <c r="S88" s="32">
        <f t="shared" si="29"/>
        <v>182488.66339207892</v>
      </c>
      <c r="T88" s="32">
        <f t="shared" si="29"/>
        <v>184924.56979470135</v>
      </c>
      <c r="U88" s="32">
        <f t="shared" si="29"/>
        <v>189796.38259994629</v>
      </c>
      <c r="V88" s="32">
        <f t="shared" si="29"/>
        <v>183192.8365528461</v>
      </c>
      <c r="W88" s="32">
        <f t="shared" si="29"/>
        <v>209835.54990203958</v>
      </c>
      <c r="X88" s="32">
        <f t="shared" si="29"/>
        <v>168357.4653184776</v>
      </c>
      <c r="Y88" s="32">
        <f t="shared" si="29"/>
        <v>111815.48033975427</v>
      </c>
      <c r="Z88" s="32">
        <f t="shared" si="29"/>
        <v>52837.588958408487</v>
      </c>
      <c r="AA88" s="32">
        <f t="shared" si="29"/>
        <v>59674.066817986051</v>
      </c>
    </row>
    <row r="89" spans="1:27" x14ac:dyDescent="0.25">
      <c r="B89" s="2"/>
      <c r="C89" s="4">
        <f>C87*C88</f>
        <v>3904337.5103954235</v>
      </c>
    </row>
    <row r="91" spans="1:27" x14ac:dyDescent="0.25">
      <c r="C91">
        <f>C88*100</f>
        <v>5.5732483047403321</v>
      </c>
    </row>
    <row r="92" spans="1:27" x14ac:dyDescent="0.25">
      <c r="D92">
        <f>C88*100</f>
        <v>5.5732483047403321</v>
      </c>
    </row>
    <row r="93" spans="1:27" x14ac:dyDescent="0.25">
      <c r="D93">
        <f>(100-D92)/100</f>
        <v>0.9442675169525967</v>
      </c>
    </row>
    <row r="96" spans="1:27" x14ac:dyDescent="0.25">
      <c r="B96" t="s">
        <v>46</v>
      </c>
      <c r="C96" s="2">
        <v>76102851.659999996</v>
      </c>
      <c r="D96" s="4">
        <f>AA39-C96</f>
        <v>0</v>
      </c>
    </row>
  </sheetData>
  <mergeCells count="58">
    <mergeCell ref="B24:B26"/>
    <mergeCell ref="C24:C26"/>
    <mergeCell ref="A6:O6"/>
    <mergeCell ref="A7:A26"/>
    <mergeCell ref="B7:B8"/>
    <mergeCell ref="C7:C8"/>
    <mergeCell ref="D7:O7"/>
    <mergeCell ref="B9:B11"/>
    <mergeCell ref="C9:C11"/>
    <mergeCell ref="B12:B14"/>
    <mergeCell ref="C12:C14"/>
    <mergeCell ref="B15:B17"/>
    <mergeCell ref="C15:C17"/>
    <mergeCell ref="B18:B20"/>
    <mergeCell ref="C18:C20"/>
    <mergeCell ref="B21:B23"/>
    <mergeCell ref="C21:C23"/>
    <mergeCell ref="A46:O46"/>
    <mergeCell ref="A27:A35"/>
    <mergeCell ref="B27:B29"/>
    <mergeCell ref="C27:C29"/>
    <mergeCell ref="B30:B32"/>
    <mergeCell ref="C30:C32"/>
    <mergeCell ref="B33:B35"/>
    <mergeCell ref="C33:C35"/>
    <mergeCell ref="A37:A40"/>
    <mergeCell ref="B37:C37"/>
    <mergeCell ref="B38:C38"/>
    <mergeCell ref="B39:C39"/>
    <mergeCell ref="B40:C40"/>
    <mergeCell ref="A47:A66"/>
    <mergeCell ref="B47:B48"/>
    <mergeCell ref="C47:C48"/>
    <mergeCell ref="D47:O47"/>
    <mergeCell ref="B49:B51"/>
    <mergeCell ref="C49:C51"/>
    <mergeCell ref="B52:B54"/>
    <mergeCell ref="C52:C54"/>
    <mergeCell ref="B55:B57"/>
    <mergeCell ref="C55:C57"/>
    <mergeCell ref="B58:B60"/>
    <mergeCell ref="C58:C60"/>
    <mergeCell ref="B61:B63"/>
    <mergeCell ref="C61:C63"/>
    <mergeCell ref="B64:B66"/>
    <mergeCell ref="C64:C66"/>
    <mergeCell ref="A67:A75"/>
    <mergeCell ref="B67:B69"/>
    <mergeCell ref="C67:C69"/>
    <mergeCell ref="B70:B72"/>
    <mergeCell ref="C70:C72"/>
    <mergeCell ref="B73:B75"/>
    <mergeCell ref="C73:C75"/>
    <mergeCell ref="A77:A80"/>
    <mergeCell ref="B77:C77"/>
    <mergeCell ref="B78:C78"/>
    <mergeCell ref="B79:C79"/>
    <mergeCell ref="B80:C80"/>
  </mergeCells>
  <printOptions horizontalCentered="1" verticalCentered="1"/>
  <pageMargins left="0.23622047244094491" right="0.23622047244094491" top="0" bottom="0" header="0" footer="0.31496062992125984"/>
  <pageSetup paperSize="9" scale="48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GO-230 Vila Propicio</vt:lpstr>
      <vt:lpstr>'GO-230 Vila Propicio'!Area_de_impressao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Flauber Lucas Resplandes de Oliveira - OR-GEPOR</dc:creator>
  <cp:lastModifiedBy>Newton Rodrigues Lima Junior - OR-GEPOR</cp:lastModifiedBy>
  <dcterms:created xsi:type="dcterms:W3CDTF">2022-09-26T13:11:13Z</dcterms:created>
  <dcterms:modified xsi:type="dcterms:W3CDTF">2022-09-26T13:25:56Z</dcterms:modified>
</cp:coreProperties>
</file>